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ard\Documents\OPDRACHTEN\Opdr. tifas\Suselbeek deuren\171112  Rekenmodule voor Deuren Suselbeek\Deuren vlak\"/>
    </mc:Choice>
  </mc:AlternateContent>
  <xr:revisionPtr revIDLastSave="0" documentId="13_ncr:1_{BD785FBF-28F6-4290-B370-80A3A2B3E7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  <sheet name="Blad2" sheetId="2" r:id="rId2"/>
  </sheets>
  <definedNames>
    <definedName name="a">Blad1!$AD$2:$AD$4</definedName>
    <definedName name="_xlnm.Print_Area" localSheetId="0">Blad1!$A$1:$P$73</definedName>
    <definedName name="B">Blad1!$T$2:$T$4</definedName>
    <definedName name="d">Blad1!$S$2:$S$4</definedName>
    <definedName name="dekplaat">Blad1!$V$31:$V$32</definedName>
    <definedName name="dik">Blad2!$D$2:$D$5</definedName>
    <definedName name="dikte">Blad1!#REF!</definedName>
    <definedName name="g">Blad1!$X$2:$X$3</definedName>
    <definedName name="I">Blad1!$V$2:$V$4</definedName>
    <definedName name="inhoud">Blad1!#REF!</definedName>
    <definedName name="iso">Blad1!$AD$2:$AD$4</definedName>
    <definedName name="Isolatie">Blad1!#REF!</definedName>
    <definedName name="jan">Blad2!$C$1:$C$3</definedName>
    <definedName name="klaas">Blad1!$S$1:$S$3</definedName>
    <definedName name="leo">Blad1!$S$2:$S$4</definedName>
    <definedName name="onderdorpel">Blad1!#REF!</definedName>
    <definedName name="P">Blad1!$W$2:$W$3</definedName>
    <definedName name="plaat">Blad1!#REF!</definedName>
    <definedName name="rand">Blad1!#REF!</definedName>
    <definedName name="s">Blad1!$AE$2:$AE$3</definedName>
    <definedName name="Sluitstijl">Blad1!$AD$31:$AD$32</definedName>
    <definedName name="sluitzijde">Blad1!#REF!</definedName>
    <definedName name="sprosse">Blad1!#REF!</definedName>
    <definedName name="v">Blad1!$V$2:$V$4</definedName>
    <definedName name="vulling">Blad1!$S$31:$S$32</definedName>
    <definedName name="w">Blad1!$U$2:$U$3</definedName>
    <definedName name="we">Blad1!$U$2:$U$4</definedName>
    <definedName name="x">Blad1!$AD$2:$AD$3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73" i="1" l="1"/>
  <c r="E32" i="1" l="1"/>
  <c r="E31" i="1" l="1"/>
  <c r="E30" i="1"/>
  <c r="E29" i="1"/>
  <c r="J49" i="1" l="1"/>
  <c r="G49" i="1"/>
  <c r="E53" i="1" l="1"/>
  <c r="J26" i="1"/>
  <c r="G26" i="1"/>
  <c r="F24" i="1"/>
  <c r="L42" i="1"/>
  <c r="K42" i="1"/>
  <c r="Y61" i="1" l="1"/>
  <c r="Y59" i="1"/>
  <c r="X59" i="1"/>
  <c r="X60" i="1" s="1"/>
  <c r="W60" i="1"/>
  <c r="AC61" i="1"/>
  <c r="AC59" i="1"/>
  <c r="AB59" i="1"/>
  <c r="AB60" i="1" s="1"/>
  <c r="AF66" i="1" l="1"/>
  <c r="AH66" i="1"/>
  <c r="AK65" i="1"/>
  <c r="AK56" i="1"/>
  <c r="AH57" i="1"/>
  <c r="AF57" i="1"/>
  <c r="AK49" i="1"/>
  <c r="AF50" i="1"/>
  <c r="AH50" i="1"/>
  <c r="AH70" i="1" l="1"/>
  <c r="AF74" i="1"/>
  <c r="AF76" i="1"/>
  <c r="AF75" i="1"/>
  <c r="AF73" i="1"/>
  <c r="AK73" i="1" s="1"/>
  <c r="N38" i="1" s="1"/>
  <c r="AH69" i="1"/>
  <c r="AH68" i="1"/>
  <c r="AH67" i="1"/>
  <c r="AH51" i="1"/>
  <c r="AH53" i="1"/>
  <c r="AH52" i="1"/>
  <c r="AF70" i="1"/>
  <c r="AF69" i="1"/>
  <c r="AF68" i="1"/>
  <c r="AF67" i="1"/>
  <c r="AF63" i="1"/>
  <c r="AF62" i="1"/>
  <c r="AF60" i="1"/>
  <c r="AF59" i="1"/>
  <c r="AF58" i="1"/>
  <c r="AF61" i="1"/>
  <c r="AH62" i="1"/>
  <c r="AH61" i="1"/>
  <c r="AH59" i="1"/>
  <c r="AH63" i="1"/>
  <c r="AH58" i="1"/>
  <c r="AH60" i="1"/>
  <c r="AF53" i="1"/>
  <c r="AF52" i="1"/>
  <c r="AF51" i="1"/>
  <c r="AK66" i="1"/>
  <c r="AK57" i="1"/>
  <c r="AK50" i="1"/>
  <c r="L59" i="1"/>
  <c r="AK67" i="1" l="1"/>
  <c r="AK53" i="1"/>
  <c r="AK70" i="1"/>
  <c r="AK51" i="1"/>
  <c r="AK61" i="1"/>
  <c r="AK58" i="1"/>
  <c r="L53" i="1" s="1"/>
  <c r="AK63" i="1"/>
  <c r="AK60" i="1"/>
  <c r="L55" i="1" s="1"/>
  <c r="AK69" i="1"/>
  <c r="AK59" i="1"/>
  <c r="L54" i="1" s="1"/>
  <c r="AK68" i="1"/>
  <c r="AK62" i="1"/>
  <c r="AK52" i="1"/>
  <c r="L57" i="1" s="1"/>
  <c r="I64" i="1"/>
  <c r="N43" i="1"/>
  <c r="F35" i="1"/>
  <c r="L61" i="1" l="1"/>
  <c r="L58" i="1"/>
  <c r="L56" i="1"/>
  <c r="M56" i="1" s="1"/>
  <c r="E56" i="1"/>
  <c r="I56" i="1" s="1"/>
  <c r="N44" i="1"/>
  <c r="O44" i="1" s="1"/>
  <c r="N39" i="1"/>
  <c r="N40" i="1"/>
  <c r="O40" i="1" s="1"/>
  <c r="N41" i="1"/>
  <c r="O41" i="1" s="1"/>
  <c r="L64" i="1"/>
  <c r="O64" i="1" s="1"/>
  <c r="L63" i="1"/>
  <c r="C71" i="1"/>
  <c r="E58" i="1"/>
  <c r="E59" i="1"/>
  <c r="E55" i="1"/>
  <c r="E54" i="1"/>
  <c r="I53" i="1"/>
  <c r="O53" i="1" s="1"/>
  <c r="K39" i="1"/>
  <c r="K38" i="1"/>
  <c r="L38" i="1"/>
  <c r="L39" i="1"/>
  <c r="L44" i="1"/>
  <c r="L43" i="1"/>
  <c r="L41" i="1"/>
  <c r="L40" i="1"/>
  <c r="O43" i="1"/>
  <c r="O38" i="1"/>
  <c r="K44" i="1"/>
  <c r="K43" i="1"/>
  <c r="K41" i="1"/>
  <c r="K40" i="1"/>
  <c r="O39" i="1" l="1"/>
  <c r="N42" i="1"/>
  <c r="O42" i="1" s="1"/>
  <c r="O56" i="1"/>
  <c r="L45" i="1"/>
  <c r="I63" i="1" s="1"/>
  <c r="O63" i="1" s="1"/>
  <c r="O65" i="1" s="1"/>
  <c r="I54" i="1"/>
  <c r="O54" i="1" s="1"/>
  <c r="I59" i="1"/>
  <c r="O59" i="1" s="1"/>
  <c r="I55" i="1"/>
  <c r="O55" i="1" s="1"/>
  <c r="O45" i="1" l="1"/>
  <c r="I58" i="1"/>
  <c r="I57" i="1" s="1"/>
  <c r="O58" i="1" l="1"/>
  <c r="K57" i="1"/>
  <c r="E61" i="1"/>
  <c r="O57" i="1"/>
  <c r="I60" i="1"/>
  <c r="O60" i="1" l="1"/>
  <c r="C70" i="1" s="1"/>
  <c r="O6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Gerard</author>
  </authors>
  <commentList>
    <comment ref="Q6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Gerard: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<sst xmlns="http://schemas.openxmlformats.org/spreadsheetml/2006/main" count="381" uniqueCount="170">
  <si>
    <t>Deur</t>
  </si>
  <si>
    <t>Glasvakken</t>
  </si>
  <si>
    <t>Glas</t>
  </si>
  <si>
    <t>type glasrand</t>
  </si>
  <si>
    <t>Rond</t>
  </si>
  <si>
    <t>Rechthoekig</t>
  </si>
  <si>
    <t>Toog bovenzijde</t>
  </si>
  <si>
    <t>Ug</t>
  </si>
  <si>
    <t>Psi</t>
  </si>
  <si>
    <t>dikte</t>
  </si>
  <si>
    <t>dekplaat</t>
  </si>
  <si>
    <t>vulling</t>
  </si>
  <si>
    <t>UITVOER</t>
  </si>
  <si>
    <t xml:space="preserve"> </t>
  </si>
  <si>
    <t>deurblad hangstijl</t>
  </si>
  <si>
    <t>deurblad sluitstijl (met stab. Voorz.)</t>
  </si>
  <si>
    <t>deurblad bovendorpel</t>
  </si>
  <si>
    <t>deurblad onderdorpel</t>
  </si>
  <si>
    <t>vulhout rondom glasvakken</t>
  </si>
  <si>
    <t>glasvakken</t>
  </si>
  <si>
    <t>deurblad geisoleerd</t>
  </si>
  <si>
    <t xml:space="preserve">Omtrek glas (alle glasvakken) </t>
  </si>
  <si>
    <t xml:space="preserve">Up = </t>
  </si>
  <si>
    <t xml:space="preserve"> mm</t>
  </si>
  <si>
    <t xml:space="preserve"> st </t>
  </si>
  <si>
    <t>A x Uc</t>
  </si>
  <si>
    <t>PROJECTGEGEVENS</t>
  </si>
  <si>
    <t>Project</t>
  </si>
  <si>
    <t>Projectnummer</t>
  </si>
  <si>
    <t>Opdrachtgever</t>
  </si>
  <si>
    <t xml:space="preserve">datum </t>
  </si>
  <si>
    <t>INVOERGEGEVENS</t>
  </si>
  <si>
    <t>breedte deurblad</t>
  </si>
  <si>
    <t>hoogte deurblad</t>
  </si>
  <si>
    <t>dikte deurblad</t>
  </si>
  <si>
    <t>mm</t>
  </si>
  <si>
    <t>st</t>
  </si>
  <si>
    <t>breed</t>
  </si>
  <si>
    <t>T</t>
  </si>
  <si>
    <t>TB</t>
  </si>
  <si>
    <t>TBP</t>
  </si>
  <si>
    <t>TX</t>
  </si>
  <si>
    <t>rand</t>
  </si>
  <si>
    <t>Kurk</t>
  </si>
  <si>
    <t>materiaal</t>
  </si>
  <si>
    <t>meranti</t>
  </si>
  <si>
    <t>hangstijl</t>
  </si>
  <si>
    <t>bovendorpel</t>
  </si>
  <si>
    <t>onderdorpel</t>
  </si>
  <si>
    <t>sluitstijl met stab. Voorziening</t>
  </si>
  <si>
    <t xml:space="preserve">  hoog</t>
  </si>
  <si>
    <t>opp (m2)</t>
  </si>
  <si>
    <t>omtrek (m1)</t>
  </si>
  <si>
    <t>std</t>
  </si>
  <si>
    <t>opp. (m2)</t>
  </si>
  <si>
    <r>
      <t xml:space="preserve">breed </t>
    </r>
    <r>
      <rPr>
        <sz val="8"/>
        <color theme="1"/>
        <rFont val="Calibri"/>
        <family val="2"/>
        <scheme val="minor"/>
      </rPr>
      <t>(mm)</t>
    </r>
  </si>
  <si>
    <t>Randhout</t>
  </si>
  <si>
    <t>W/m2K</t>
  </si>
  <si>
    <t>W/m1K</t>
  </si>
  <si>
    <t>nee</t>
  </si>
  <si>
    <r>
      <t xml:space="preserve">Uc </t>
    </r>
    <r>
      <rPr>
        <sz val="8"/>
        <color theme="1"/>
        <rFont val="Calibri"/>
        <family val="2"/>
        <scheme val="minor"/>
      </rPr>
      <t>(W/m2K)</t>
    </r>
  </si>
  <si>
    <r>
      <t xml:space="preserve">A </t>
    </r>
    <r>
      <rPr>
        <sz val="8"/>
        <color theme="1"/>
        <rFont val="Calibri"/>
        <family val="2"/>
        <scheme val="minor"/>
      </rPr>
      <t>(m2)</t>
    </r>
  </si>
  <si>
    <r>
      <t xml:space="preserve">b </t>
    </r>
    <r>
      <rPr>
        <sz val="8"/>
        <color theme="1"/>
        <rFont val="Calibri"/>
        <family val="2"/>
        <scheme val="minor"/>
      </rPr>
      <t xml:space="preserve">  </t>
    </r>
  </si>
  <si>
    <t>Ap =</t>
  </si>
  <si>
    <t xml:space="preserve"> m2</t>
  </si>
  <si>
    <t xml:space="preserve"> W/m2K </t>
  </si>
  <si>
    <t xml:space="preserve">  +</t>
  </si>
  <si>
    <t xml:space="preserve">Lengte wiener sprosse </t>
  </si>
  <si>
    <r>
      <rPr>
        <sz val="11"/>
        <color theme="1"/>
        <rFont val="Calibri"/>
        <family val="2"/>
      </rPr>
      <t>ψ</t>
    </r>
    <r>
      <rPr>
        <sz val="9"/>
        <color theme="1"/>
        <rFont val="Calibri"/>
        <family val="2"/>
      </rPr>
      <t xml:space="preserve">gl </t>
    </r>
    <r>
      <rPr>
        <sz val="8"/>
        <color theme="1"/>
        <rFont val="Calibri"/>
        <family val="2"/>
      </rPr>
      <t>(w/mK)</t>
    </r>
  </si>
  <si>
    <r>
      <rPr>
        <sz val="10"/>
        <color theme="1"/>
        <rFont val="Calibri"/>
        <family val="2"/>
      </rPr>
      <t>λ</t>
    </r>
    <r>
      <rPr>
        <sz val="8"/>
        <color theme="1"/>
        <rFont val="Calibri"/>
        <family val="2"/>
      </rPr>
      <t>D</t>
    </r>
    <r>
      <rPr>
        <sz val="9"/>
        <color theme="1"/>
        <rFont val="Calibri"/>
        <family val="2"/>
      </rPr>
      <t>/</t>
    </r>
    <r>
      <rPr>
        <sz val="11"/>
        <color theme="1"/>
        <rFont val="Calibri"/>
        <family val="2"/>
      </rPr>
      <t>λ</t>
    </r>
    <r>
      <rPr>
        <sz val="9"/>
        <color theme="1"/>
        <rFont val="Calibri"/>
        <family val="2"/>
      </rPr>
      <t>eq (W/mK)</t>
    </r>
  </si>
  <si>
    <t>tricoya</t>
  </si>
  <si>
    <t>I</t>
  </si>
  <si>
    <t>brandwering</t>
  </si>
  <si>
    <t>d</t>
  </si>
  <si>
    <t>B</t>
  </si>
  <si>
    <t>geen</t>
  </si>
  <si>
    <t>B30</t>
  </si>
  <si>
    <t>B60</t>
  </si>
  <si>
    <t>weldorpel</t>
  </si>
  <si>
    <t>w</t>
  </si>
  <si>
    <t>WX</t>
  </si>
  <si>
    <t>vuren</t>
  </si>
  <si>
    <t>Vuren</t>
  </si>
  <si>
    <t>SS</t>
  </si>
  <si>
    <t>HS</t>
  </si>
  <si>
    <t>BD</t>
  </si>
  <si>
    <t>OD</t>
  </si>
  <si>
    <t>Opties</t>
  </si>
  <si>
    <t>p</t>
  </si>
  <si>
    <t>Susplex</t>
  </si>
  <si>
    <t xml:space="preserve">  </t>
  </si>
  <si>
    <t>g</t>
  </si>
  <si>
    <t>TBP-60</t>
  </si>
  <si>
    <t>TB-30</t>
  </si>
  <si>
    <t>x</t>
  </si>
  <si>
    <t>type en aantal glasvakken:</t>
  </si>
  <si>
    <t>gb</t>
  </si>
  <si>
    <t xml:space="preserve">Breedte randhout afgeleid van deurdikte en T of TX.  (T, TB, TBP hebben allen gelijke Bf) </t>
  </si>
  <si>
    <t>Ugl  vrij in te vullen</t>
  </si>
  <si>
    <t>Psi te kiezen uit 0,08 en 0,06</t>
  </si>
  <si>
    <t>m1</t>
  </si>
  <si>
    <t>s</t>
  </si>
  <si>
    <t>ja</t>
  </si>
  <si>
    <t>SS-B30</t>
  </si>
  <si>
    <t>SS-B60</t>
  </si>
  <si>
    <t xml:space="preserve">BEREKENING Up SAMENGESTELDE DEUREN </t>
  </si>
  <si>
    <t xml:space="preserve">   +</t>
  </si>
  <si>
    <t>susplex</t>
  </si>
  <si>
    <t>kurk</t>
  </si>
  <si>
    <t xml:space="preserve">Gekozen deurdikte : </t>
  </si>
  <si>
    <t>Up waarden - berekend</t>
  </si>
  <si>
    <t>na</t>
  </si>
  <si>
    <t>m2</t>
  </si>
  <si>
    <r>
      <rPr>
        <sz val="11"/>
        <color theme="1"/>
        <rFont val="Calibri"/>
        <family val="2"/>
        <scheme val="minor"/>
      </rPr>
      <t xml:space="preserve">l </t>
    </r>
    <r>
      <rPr>
        <sz val="9"/>
        <color theme="1"/>
        <rFont val="Calibri"/>
        <family val="2"/>
        <scheme val="minor"/>
      </rPr>
      <t xml:space="preserve"> </t>
    </r>
    <r>
      <rPr>
        <sz val="8"/>
        <color theme="1"/>
        <rFont val="Calibri"/>
        <family val="2"/>
        <scheme val="minor"/>
      </rPr>
      <t>(m1)</t>
    </r>
  </si>
  <si>
    <r>
      <rPr>
        <sz val="11"/>
        <color theme="1"/>
        <rFont val="Calibri"/>
        <family val="2"/>
        <scheme val="minor"/>
      </rPr>
      <t xml:space="preserve">l </t>
    </r>
    <r>
      <rPr>
        <sz val="9"/>
        <color theme="1"/>
        <rFont val="Calibri"/>
        <family val="2"/>
        <scheme val="minor"/>
      </rPr>
      <t xml:space="preserve"> x </t>
    </r>
    <r>
      <rPr>
        <sz val="11"/>
        <color theme="1"/>
        <rFont val="Calibri"/>
        <family val="2"/>
      </rPr>
      <t>ψ</t>
    </r>
    <r>
      <rPr>
        <sz val="9"/>
        <color theme="1"/>
        <rFont val="Calibri"/>
        <family val="2"/>
      </rPr>
      <t>gl</t>
    </r>
  </si>
  <si>
    <t xml:space="preserve"> (W/K)</t>
  </si>
  <si>
    <t>Hulptabel keuze</t>
  </si>
  <si>
    <t>Uc - waarden</t>
  </si>
  <si>
    <t>Totale warmteverlies :</t>
  </si>
  <si>
    <t xml:space="preserve">  door programma bepaald/berekend</t>
  </si>
  <si>
    <t xml:space="preserve">  in te voeren keuze</t>
  </si>
  <si>
    <t xml:space="preserve">  in te voeren waarde</t>
  </si>
  <si>
    <t>Foutmelding glasoppervlak:  FOUT als er minder dan 0,5m2 deurblad is</t>
  </si>
  <si>
    <t>Wiener sprossen</t>
  </si>
  <si>
    <t>afwijkende hangstijlbreedte ?</t>
  </si>
  <si>
    <t>bij afwijkende breedte hangstijl eigen waarde invoeren</t>
  </si>
  <si>
    <t>Berekende onderdelen :</t>
  </si>
  <si>
    <t>RESULTATEN</t>
  </si>
  <si>
    <t xml:space="preserve"> Warmteverlies  onderdeel :</t>
  </si>
  <si>
    <t>Lineair warmteverlies :</t>
  </si>
  <si>
    <t>Bf  randhout raamsparing</t>
  </si>
  <si>
    <t>dekpl.</t>
  </si>
  <si>
    <t>glasr.</t>
  </si>
  <si>
    <t>weld.</t>
  </si>
  <si>
    <t>BW</t>
  </si>
  <si>
    <t>spr.</t>
  </si>
  <si>
    <t>onderd.</t>
  </si>
  <si>
    <t>hangz</t>
  </si>
  <si>
    <t>bovend</t>
  </si>
  <si>
    <t>sluitstijl</t>
  </si>
  <si>
    <t>De Bf van het randhout worden bepaald ahv deurdikte, brandwering en weldorpel</t>
  </si>
  <si>
    <t>De Bf van de SS (sluitstijl) wordt bepaald ahv deurdikte en brandwerendheid</t>
  </si>
  <si>
    <t>std.weld.</t>
  </si>
  <si>
    <t>bw30</t>
  </si>
  <si>
    <t>bw60</t>
  </si>
  <si>
    <t>WX.weld.</t>
  </si>
  <si>
    <t>Gekozen dekpl.</t>
  </si>
  <si>
    <t>zw</t>
  </si>
  <si>
    <t>zw = zelfde waarde</t>
  </si>
  <si>
    <t>na = niet aanwezig</t>
  </si>
  <si>
    <t>niet WX</t>
  </si>
  <si>
    <t>randhout</t>
  </si>
  <si>
    <t>glasrand</t>
  </si>
  <si>
    <t>Bij B30 en B60 alleen mogelijk met kurkvulling, B30 alleen in 39, 54 en 67, B60 alleen in 54 en 67</t>
  </si>
  <si>
    <t xml:space="preserve">Controle wel/niet in BW uitvoering via de sluitstijl. </t>
  </si>
  <si>
    <t xml:space="preserve">Controle op BW-eis via tabel met "na"  </t>
  </si>
  <si>
    <t>breedte randhout om glas</t>
  </si>
  <si>
    <t>Keuze  :</t>
  </si>
  <si>
    <t>bij gekozen deurdikte:</t>
  </si>
  <si>
    <t xml:space="preserve">versie      : 3 </t>
  </si>
  <si>
    <t>datum     : 29-03-2018</t>
  </si>
  <si>
    <t>versiedatum  :  06-08-2022</t>
  </si>
  <si>
    <t>berekening conform  NTA8800/2022  en  NEN-EN  10077-1:2017  /  NEN-EN 10077-2:2017</t>
  </si>
  <si>
    <t xml:space="preserve"> in te voeren waarde/naam</t>
  </si>
  <si>
    <t xml:space="preserve"> in te voeren keuze</t>
  </si>
  <si>
    <t xml:space="preserve"> uitrekenen ahv het model</t>
  </si>
  <si>
    <t xml:space="preserve"> door programma bepaald</t>
  </si>
  <si>
    <t>XPS</t>
  </si>
  <si>
    <t>Bij WX altijd 165hoog, zonder en met std-weldorpel geen verschil in hoogte. Bij WX slechtere Up vanwege hoge randhout</t>
  </si>
  <si>
    <t xml:space="preserve">Vulling vuren alleen in 39 en 54mm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</si>
</sst>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9"/>
      <color rgb="FFC00000"/>
      <name val="Calibri"/>
      <family val="2"/>
      <scheme val="minor"/>
    </font>
    <font>
      <sz val="12"/>
      <color rgb="FF2F2F2F"/>
      <name val="Segoe UI"/>
      <family val="2"/>
    </font>
    <font>
      <sz val="9"/>
      <color rgb="FF2F2F2F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DashDot">
        <color auto="1"/>
      </left>
      <right/>
      <top style="mediumDashDot">
        <color auto="1"/>
      </top>
      <bottom style="mediumDashDot">
        <color auto="1"/>
      </bottom>
      <diagonal/>
    </border>
    <border>
      <left/>
      <right/>
      <top style="mediumDashDot">
        <color auto="1"/>
      </top>
      <bottom style="mediumDashDot">
        <color auto="1"/>
      </bottom>
      <diagonal/>
    </border>
    <border>
      <left/>
      <right style="mediumDashDot">
        <color auto="1"/>
      </right>
      <top style="mediumDashDot">
        <color auto="1"/>
      </top>
      <bottom style="mediumDashDot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uble">
        <color auto="1"/>
      </bottom>
      <diagonal/>
    </border>
    <border>
      <left/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/>
      <right/>
      <top style="double">
        <color auto="1"/>
      </top>
      <bottom style="dotted">
        <color auto="1"/>
      </bottom>
      <diagonal/>
    </border>
    <border>
      <left/>
      <right style="double">
        <color auto="1"/>
      </right>
      <top style="dotted">
        <color auto="1"/>
      </top>
      <bottom/>
      <diagonal/>
    </border>
    <border>
      <left style="dotted">
        <color auto="1"/>
      </left>
      <right/>
      <top style="double">
        <color auto="1"/>
      </top>
      <bottom/>
      <diagonal/>
    </border>
    <border>
      <left/>
      <right style="dotted">
        <color auto="1"/>
      </right>
      <top style="double">
        <color auto="1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249">
    <xf numFmtId="0" fontId="0" fillId="0" borderId="0" xfId="0"/>
    <xf numFmtId="16" fontId="0" fillId="0" borderId="0" xfId="0" applyNumberForma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0" fillId="0" borderId="0" xfId="0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Fill="1" applyBorder="1"/>
    <xf numFmtId="0" fontId="7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/>
    <xf numFmtId="0" fontId="11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3" fillId="0" borderId="9" xfId="0" applyFont="1" applyBorder="1"/>
    <xf numFmtId="0" fontId="7" fillId="0" borderId="0" xfId="0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2" fillId="0" borderId="8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4" fillId="0" borderId="0" xfId="0" applyFont="1"/>
    <xf numFmtId="2" fontId="2" fillId="0" borderId="0" xfId="0" applyNumberFormat="1" applyFont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0" xfId="0" applyNumberFormat="1" applyFont="1" applyFill="1" applyBorder="1"/>
    <xf numFmtId="0" fontId="0" fillId="0" borderId="11" xfId="0" applyBorder="1"/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5" xfId="0" applyNumberFormat="1" applyFont="1" applyBorder="1"/>
    <xf numFmtId="164" fontId="2" fillId="0" borderId="0" xfId="0" applyNumberFormat="1" applyFont="1" applyBorder="1"/>
    <xf numFmtId="1" fontId="0" fillId="0" borderId="11" xfId="0" applyNumberForma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0" fontId="0" fillId="0" borderId="16" xfId="0" applyBorder="1"/>
    <xf numFmtId="0" fontId="2" fillId="0" borderId="12" xfId="0" applyFont="1" applyBorder="1"/>
    <xf numFmtId="0" fontId="2" fillId="0" borderId="12" xfId="0" applyFont="1" applyFill="1" applyBorder="1"/>
    <xf numFmtId="0" fontId="10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"/>
    </xf>
    <xf numFmtId="0" fontId="2" fillId="0" borderId="21" xfId="0" applyFont="1" applyBorder="1"/>
    <xf numFmtId="0" fontId="2" fillId="0" borderId="20" xfId="0" applyFont="1" applyBorder="1"/>
    <xf numFmtId="0" fontId="2" fillId="0" borderId="20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4" xfId="0" applyBorder="1"/>
    <xf numFmtId="0" fontId="0" fillId="0" borderId="25" xfId="0" applyBorder="1"/>
    <xf numFmtId="0" fontId="17" fillId="0" borderId="17" xfId="0" applyFont="1" applyBorder="1"/>
    <xf numFmtId="0" fontId="0" fillId="3" borderId="0" xfId="0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5" xfId="0" applyBorder="1" applyAlignment="1">
      <alignment horizontal="center"/>
    </xf>
    <xf numFmtId="0" fontId="17" fillId="3" borderId="21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23" xfId="0" applyFont="1" applyBorder="1"/>
    <xf numFmtId="0" fontId="2" fillId="0" borderId="28" xfId="0" applyFont="1" applyBorder="1" applyAlignment="1">
      <alignment horizontal="center"/>
    </xf>
    <xf numFmtId="1" fontId="15" fillId="3" borderId="23" xfId="0" applyNumberFormat="1" applyFont="1" applyFill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1" fontId="15" fillId="3" borderId="16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7" fillId="3" borderId="21" xfId="0" applyFont="1" applyFill="1" applyBorder="1"/>
    <xf numFmtId="0" fontId="17" fillId="0" borderId="20" xfId="0" applyFont="1" applyFill="1" applyBorder="1"/>
    <xf numFmtId="1" fontId="2" fillId="0" borderId="21" xfId="0" applyNumberFormat="1" applyFont="1" applyBorder="1" applyAlignment="1">
      <alignment horizontal="center"/>
    </xf>
    <xf numFmtId="0" fontId="0" fillId="0" borderId="27" xfId="0" applyBorder="1"/>
    <xf numFmtId="0" fontId="2" fillId="0" borderId="22" xfId="0" applyFont="1" applyBorder="1"/>
    <xf numFmtId="0" fontId="0" fillId="0" borderId="28" xfId="0" applyBorder="1"/>
    <xf numFmtId="164" fontId="2" fillId="0" borderId="18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27" xfId="0" applyFont="1" applyBorder="1" applyAlignment="1">
      <alignment horizontal="center"/>
    </xf>
    <xf numFmtId="0" fontId="2" fillId="0" borderId="30" xfId="0" applyFont="1" applyBorder="1"/>
    <xf numFmtId="0" fontId="0" fillId="0" borderId="26" xfId="0" applyBorder="1"/>
    <xf numFmtId="0" fontId="15" fillId="0" borderId="12" xfId="0" applyFont="1" applyBorder="1" applyAlignment="1">
      <alignment horizontal="left"/>
    </xf>
    <xf numFmtId="0" fontId="15" fillId="0" borderId="14" xfId="0" applyFont="1" applyBorder="1"/>
    <xf numFmtId="0" fontId="17" fillId="0" borderId="19" xfId="0" applyFont="1" applyBorder="1"/>
    <xf numFmtId="0" fontId="2" fillId="6" borderId="0" xfId="0" applyFont="1" applyFill="1" applyBorder="1"/>
    <xf numFmtId="0" fontId="0" fillId="3" borderId="8" xfId="0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0" borderId="9" xfId="0" applyFont="1" applyFill="1" applyBorder="1"/>
    <xf numFmtId="164" fontId="2" fillId="0" borderId="4" xfId="0" applyNumberFormat="1" applyFont="1" applyBorder="1" applyAlignment="1">
      <alignment horizontal="center"/>
    </xf>
    <xf numFmtId="0" fontId="17" fillId="0" borderId="0" xfId="0" applyFont="1" applyAlignment="1">
      <alignment horizontal="left"/>
    </xf>
    <xf numFmtId="164" fontId="16" fillId="0" borderId="0" xfId="0" applyNumberFormat="1" applyFont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0" fillId="0" borderId="15" xfId="0" applyNumberFormat="1" applyFont="1" applyBorder="1" applyAlignment="1">
      <alignment horizontal="center"/>
    </xf>
    <xf numFmtId="0" fontId="2" fillId="0" borderId="29" xfId="0" applyFont="1" applyFill="1" applyBorder="1"/>
    <xf numFmtId="0" fontId="2" fillId="0" borderId="14" xfId="0" applyFont="1" applyFill="1" applyBorder="1"/>
    <xf numFmtId="0" fontId="0" fillId="0" borderId="16" xfId="0" applyFill="1" applyBorder="1"/>
    <xf numFmtId="0" fontId="2" fillId="0" borderId="14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164" fontId="0" fillId="4" borderId="22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4" borderId="20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164" fontId="0" fillId="3" borderId="20" xfId="0" applyNumberForma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164" fontId="0" fillId="4" borderId="0" xfId="0" applyNumberFormat="1" applyFont="1" applyFill="1" applyBorder="1" applyAlignment="1">
      <alignment horizontal="center"/>
    </xf>
    <xf numFmtId="164" fontId="0" fillId="4" borderId="12" xfId="0" applyNumberFormat="1" applyFont="1" applyFill="1" applyBorder="1" applyAlignment="1">
      <alignment horizontal="center"/>
    </xf>
    <xf numFmtId="164" fontId="0" fillId="4" borderId="20" xfId="0" applyNumberFormat="1" applyFont="1" applyFill="1" applyBorder="1" applyAlignment="1">
      <alignment horizontal="center"/>
    </xf>
    <xf numFmtId="0" fontId="0" fillId="4" borderId="0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0" fontId="0" fillId="4" borderId="20" xfId="0" applyFont="1" applyFill="1" applyBorder="1" applyAlignment="1">
      <alignment horizontal="center"/>
    </xf>
    <xf numFmtId="0" fontId="0" fillId="4" borderId="22" xfId="0" applyFill="1" applyBorder="1"/>
    <xf numFmtId="164" fontId="0" fillId="4" borderId="5" xfId="0" applyNumberFormat="1" applyFont="1" applyFill="1" applyBorder="1" applyAlignment="1">
      <alignment horizontal="center"/>
    </xf>
    <xf numFmtId="0" fontId="0" fillId="4" borderId="20" xfId="0" applyFill="1" applyBorder="1"/>
    <xf numFmtId="0" fontId="0" fillId="4" borderId="23" xfId="0" applyFill="1" applyBorder="1" applyAlignment="1">
      <alignment horizontal="center"/>
    </xf>
    <xf numFmtId="164" fontId="0" fillId="4" borderId="11" xfId="0" applyNumberFormat="1" applyFont="1" applyFill="1" applyBorder="1" applyAlignment="1">
      <alignment horizontal="center"/>
    </xf>
    <xf numFmtId="164" fontId="0" fillId="4" borderId="11" xfId="0" applyNumberForma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27" xfId="0" applyNumberFormat="1" applyFill="1" applyBorder="1" applyAlignment="1">
      <alignment horizontal="center"/>
    </xf>
    <xf numFmtId="164" fontId="0" fillId="3" borderId="21" xfId="0" applyNumberFormat="1" applyFill="1" applyBorder="1" applyAlignment="1">
      <alignment horizontal="center"/>
    </xf>
    <xf numFmtId="0" fontId="0" fillId="4" borderId="31" xfId="0" applyFill="1" applyBorder="1"/>
    <xf numFmtId="0" fontId="0" fillId="2" borderId="31" xfId="0" applyFill="1" applyBorder="1"/>
    <xf numFmtId="0" fontId="0" fillId="3" borderId="31" xfId="0" applyFill="1" applyBorder="1"/>
    <xf numFmtId="0" fontId="2" fillId="0" borderId="33" xfId="0" applyFont="1" applyBorder="1"/>
    <xf numFmtId="0" fontId="2" fillId="0" borderId="7" xfId="0" applyFont="1" applyBorder="1"/>
    <xf numFmtId="0" fontId="2" fillId="0" borderId="34" xfId="0" applyFont="1" applyBorder="1"/>
    <xf numFmtId="0" fontId="16" fillId="0" borderId="9" xfId="0" applyFont="1" applyBorder="1"/>
    <xf numFmtId="0" fontId="15" fillId="0" borderId="0" xfId="0" applyFont="1"/>
    <xf numFmtId="0" fontId="15" fillId="0" borderId="9" xfId="0" applyFont="1" applyBorder="1"/>
    <xf numFmtId="2" fontId="1" fillId="3" borderId="0" xfId="0" applyNumberFormat="1" applyFont="1" applyFill="1" applyAlignment="1">
      <alignment horizontal="center"/>
    </xf>
    <xf numFmtId="0" fontId="0" fillId="0" borderId="0" xfId="0" applyFont="1"/>
    <xf numFmtId="0" fontId="16" fillId="0" borderId="0" xfId="0" applyFont="1" applyBorder="1"/>
    <xf numFmtId="0" fontId="16" fillId="0" borderId="0" xfId="0" applyFont="1"/>
    <xf numFmtId="0" fontId="2" fillId="4" borderId="32" xfId="0" applyFont="1" applyFill="1" applyBorder="1" applyAlignment="1" applyProtection="1">
      <alignment horizontal="center"/>
      <protection locked="0"/>
    </xf>
    <xf numFmtId="0" fontId="13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0" fillId="0" borderId="0" xfId="0" applyFill="1" applyBorder="1" applyAlignment="1">
      <alignment horizontal="center"/>
    </xf>
    <xf numFmtId="0" fontId="0" fillId="0" borderId="43" xfId="0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0" xfId="0" applyFill="1" applyBorder="1"/>
    <xf numFmtId="0" fontId="2" fillId="0" borderId="41" xfId="0" applyFont="1" applyBorder="1" applyAlignment="1">
      <alignment horizontal="center"/>
    </xf>
    <xf numFmtId="0" fontId="2" fillId="0" borderId="42" xfId="0" applyFont="1" applyBorder="1"/>
    <xf numFmtId="0" fontId="0" fillId="0" borderId="44" xfId="0" applyBorder="1"/>
    <xf numFmtId="0" fontId="0" fillId="0" borderId="45" xfId="0" applyBorder="1" applyAlignment="1">
      <alignment horizontal="center"/>
    </xf>
    <xf numFmtId="0" fontId="2" fillId="0" borderId="24" xfId="0" applyFont="1" applyBorder="1"/>
    <xf numFmtId="0" fontId="2" fillId="0" borderId="18" xfId="0" applyFont="1" applyBorder="1" applyAlignment="1">
      <alignment horizontal="center"/>
    </xf>
    <xf numFmtId="0" fontId="18" fillId="0" borderId="0" xfId="0" applyFont="1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0" fillId="0" borderId="43" xfId="0" applyBorder="1"/>
    <xf numFmtId="0" fontId="0" fillId="0" borderId="47" xfId="0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6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164" fontId="0" fillId="3" borderId="28" xfId="0" applyNumberForma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49" xfId="0" applyFill="1" applyBorder="1" applyAlignment="1">
      <alignment horizontal="center"/>
    </xf>
    <xf numFmtId="164" fontId="0" fillId="4" borderId="15" xfId="0" applyNumberFormat="1" applyFill="1" applyBorder="1" applyAlignment="1">
      <alignment horizontal="center"/>
    </xf>
    <xf numFmtId="164" fontId="0" fillId="4" borderId="13" xfId="0" applyNumberFormat="1" applyFill="1" applyBorder="1" applyAlignment="1">
      <alignment horizontal="center"/>
    </xf>
    <xf numFmtId="164" fontId="0" fillId="4" borderId="0" xfId="0" applyNumberFormat="1" applyFont="1" applyFill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18" fillId="0" borderId="29" xfId="0" applyFont="1" applyFill="1" applyBorder="1"/>
    <xf numFmtId="0" fontId="0" fillId="0" borderId="30" xfId="0" applyBorder="1"/>
    <xf numFmtId="1" fontId="0" fillId="0" borderId="51" xfId="0" applyNumberFormat="1" applyBorder="1" applyAlignment="1">
      <alignment horizontal="center"/>
    </xf>
    <xf numFmtId="1" fontId="0" fillId="0" borderId="30" xfId="0" applyNumberFormat="1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8" xfId="0" applyBorder="1"/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left"/>
    </xf>
    <xf numFmtId="1" fontId="0" fillId="3" borderId="52" xfId="0" applyNumberFormat="1" applyFill="1" applyBorder="1" applyAlignment="1">
      <alignment horizontal="center"/>
    </xf>
    <xf numFmtId="1" fontId="0" fillId="3" borderId="53" xfId="0" applyNumberFormat="1" applyFill="1" applyBorder="1" applyAlignment="1">
      <alignment horizontal="center"/>
    </xf>
    <xf numFmtId="1" fontId="0" fillId="3" borderId="54" xfId="0" applyNumberFormat="1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15" fillId="0" borderId="18" xfId="0" applyFont="1" applyBorder="1"/>
    <xf numFmtId="0" fontId="0" fillId="5" borderId="31" xfId="0" applyFill="1" applyBorder="1"/>
    <xf numFmtId="0" fontId="0" fillId="7" borderId="31" xfId="0" applyFill="1" applyBorder="1"/>
    <xf numFmtId="0" fontId="0" fillId="8" borderId="31" xfId="0" applyFill="1" applyBorder="1"/>
    <xf numFmtId="0" fontId="2" fillId="6" borderId="31" xfId="0" applyFont="1" applyFill="1" applyBorder="1"/>
    <xf numFmtId="0" fontId="2" fillId="7" borderId="0" xfId="0" applyFont="1" applyFill="1" applyBorder="1" applyAlignment="1" applyProtection="1">
      <alignment horizontal="center"/>
      <protection locked="0"/>
    </xf>
    <xf numFmtId="0" fontId="2" fillId="7" borderId="0" xfId="0" applyFont="1" applyFill="1" applyAlignment="1" applyProtection="1">
      <alignment horizontal="center"/>
      <protection locked="0"/>
    </xf>
    <xf numFmtId="0" fontId="2" fillId="5" borderId="8" xfId="0" applyFont="1" applyFill="1" applyBorder="1" applyAlignment="1" applyProtection="1">
      <alignment horizontal="center"/>
      <protection locked="0"/>
    </xf>
    <xf numFmtId="0" fontId="2" fillId="5" borderId="0" xfId="0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Protection="1">
      <protection locked="0"/>
    </xf>
    <xf numFmtId="0" fontId="2" fillId="5" borderId="10" xfId="0" applyFont="1" applyFill="1" applyBorder="1"/>
    <xf numFmtId="0" fontId="2" fillId="5" borderId="7" xfId="0" applyFont="1" applyFill="1" applyBorder="1" applyProtection="1">
      <protection locked="0"/>
    </xf>
    <xf numFmtId="0" fontId="2" fillId="5" borderId="7" xfId="0" applyFont="1" applyFill="1" applyBorder="1"/>
    <xf numFmtId="0" fontId="0" fillId="7" borderId="0" xfId="0" applyFill="1" applyAlignment="1" applyProtection="1">
      <alignment horizontal="center"/>
      <protection locked="0"/>
    </xf>
    <xf numFmtId="0" fontId="2" fillId="8" borderId="0" xfId="0" applyFont="1" applyFill="1" applyBorder="1" applyAlignment="1" applyProtection="1">
      <alignment horizontal="center"/>
      <protection locked="0"/>
    </xf>
    <xf numFmtId="0" fontId="2" fillId="8" borderId="0" xfId="0" applyFont="1" applyFill="1" applyAlignment="1" applyProtection="1">
      <alignment horizontal="center"/>
      <protection locked="0"/>
    </xf>
    <xf numFmtId="0" fontId="2" fillId="8" borderId="32" xfId="0" applyFont="1" applyFill="1" applyBorder="1" applyAlignment="1" applyProtection="1">
      <alignment horizontal="center"/>
      <protection locked="0"/>
    </xf>
    <xf numFmtId="0" fontId="0" fillId="6" borderId="0" xfId="0" applyFill="1" applyAlignment="1">
      <alignment horizontal="center"/>
    </xf>
    <xf numFmtId="164" fontId="0" fillId="6" borderId="0" xfId="0" applyNumberFormat="1" applyFill="1" applyAlignment="1">
      <alignment horizontal="center"/>
    </xf>
    <xf numFmtId="0" fontId="2" fillId="6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  <xf numFmtId="164" fontId="2" fillId="6" borderId="0" xfId="0" applyNumberFormat="1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200943</xdr:colOff>
      <xdr:row>1</xdr:row>
      <xdr:rowOff>10583</xdr:rowOff>
    </xdr:from>
    <xdr:to>
      <xdr:col>15</xdr:col>
      <xdr:colOff>437514</xdr:colOff>
      <xdr:row>3</xdr:row>
      <xdr:rowOff>174382</xdr:rowOff>
    </xdr:to>
    <xdr:pic>
      <xdr:nvPicPr>
        <xdr:cNvPr id="4" name="Picture 2" descr="C:\Users\Gerard\Documents\LIMUCO\Brief  - factuur - logos\100609 Limuco_log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56776" y="201083"/>
          <a:ext cx="1697071" cy="523632"/>
        </a:xfrm>
        <a:prstGeom prst="rect">
          <a:avLst/>
        </a:prstGeom>
        <a:noFill/>
        <a:ln w="3175">
          <a:solidFill>
            <a:schemeClr val="accent1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5</xdr:col>
      <xdr:colOff>533603</xdr:colOff>
      <xdr:row>4</xdr:row>
      <xdr:rowOff>58632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1448A5BA-4477-4BBA-B018-CEC2BBFA0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4300"/>
          <a:ext cx="3276803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AT77"/>
  <sheetViews>
    <sheetView tabSelected="1" zoomScale="85" zoomScaleNormal="85" workbookViewId="0">
      <selection activeCell="P29" sqref="P29"/>
    </sheetView>
  </sheetViews>
  <sheetFormatPr defaultRowHeight="14.4" x14ac:dyDescent="0.3"/>
  <cols>
    <col min="1" max="1" width="4" customWidth="1"/>
    <col min="2" max="2" width="14.88671875" customWidth="1"/>
    <col min="3" max="3" width="7.44140625" customWidth="1"/>
    <col min="4" max="4" width="4.5546875" customWidth="1"/>
    <col min="5" max="5" width="9.109375" customWidth="1"/>
    <col min="6" max="6" width="8.6640625" customWidth="1"/>
    <col min="7" max="7" width="7.44140625" customWidth="1"/>
    <col min="8" max="8" width="4.88671875" customWidth="1"/>
    <col min="9" max="9" width="9.44140625" customWidth="1"/>
    <col min="10" max="10" width="5.6640625" customWidth="1"/>
    <col min="11" max="11" width="7.88671875" customWidth="1"/>
    <col min="12" max="12" width="9.88671875" customWidth="1"/>
    <col min="13" max="13" width="3.109375" customWidth="1"/>
    <col min="14" max="14" width="9.5546875" customWidth="1"/>
    <col min="15" max="15" width="8.5546875" customWidth="1"/>
    <col min="16" max="16" width="6.88671875" customWidth="1"/>
    <col min="17" max="17" width="3.88671875" hidden="1" customWidth="1"/>
    <col min="18" max="18" width="1.6640625" hidden="1" customWidth="1"/>
    <col min="19" max="19" width="4.33203125" hidden="1" customWidth="1"/>
    <col min="20" max="21" width="5.77734375" hidden="1" customWidth="1"/>
    <col min="22" max="22" width="6.44140625" hidden="1" customWidth="1"/>
    <col min="23" max="23" width="6.77734375" hidden="1" customWidth="1"/>
    <col min="24" max="24" width="7" hidden="1" customWidth="1"/>
    <col min="25" max="25" width="7.33203125" hidden="1" customWidth="1"/>
    <col min="26" max="26" width="6.109375" hidden="1" customWidth="1"/>
    <col min="27" max="28" width="6.6640625" hidden="1" customWidth="1"/>
    <col min="29" max="29" width="6.33203125" hidden="1" customWidth="1"/>
    <col min="30" max="30" width="7.109375" hidden="1" customWidth="1"/>
    <col min="31" max="31" width="4" hidden="1" customWidth="1"/>
    <col min="32" max="32" width="8.33203125" hidden="1" customWidth="1"/>
    <col min="33" max="33" width="4.109375" hidden="1" customWidth="1"/>
    <col min="34" max="34" width="6.6640625" hidden="1" customWidth="1"/>
    <col min="35" max="35" width="5.109375" hidden="1" customWidth="1"/>
    <col min="36" max="36" width="4.44140625" hidden="1" customWidth="1"/>
    <col min="37" max="37" width="13.44140625" hidden="1" customWidth="1"/>
    <col min="38" max="38" width="4.109375" hidden="1" customWidth="1"/>
    <col min="39" max="39" width="5.44140625" hidden="1" customWidth="1"/>
    <col min="40" max="40" width="4.109375" hidden="1" customWidth="1"/>
    <col min="41" max="41" width="4.77734375" hidden="1" customWidth="1"/>
    <col min="42" max="42" width="4.88671875" hidden="1" customWidth="1"/>
    <col min="43" max="43" width="5" hidden="1" customWidth="1"/>
    <col min="44" max="44" width="8.88671875" hidden="1" customWidth="1"/>
  </cols>
  <sheetData>
    <row r="1" spans="1:43" ht="15" thickTop="1" x14ac:dyDescent="0.3">
      <c r="S1" s="108" t="s">
        <v>73</v>
      </c>
      <c r="T1" s="109" t="s">
        <v>74</v>
      </c>
      <c r="U1" s="109" t="s">
        <v>79</v>
      </c>
      <c r="V1" s="109" t="s">
        <v>71</v>
      </c>
      <c r="W1" s="109" t="s">
        <v>88</v>
      </c>
      <c r="X1" s="109" t="s">
        <v>91</v>
      </c>
      <c r="Y1" s="109" t="s">
        <v>96</v>
      </c>
      <c r="Z1" s="109">
        <v>39</v>
      </c>
      <c r="AA1" s="109">
        <v>54</v>
      </c>
      <c r="AB1" s="109">
        <v>67</v>
      </c>
      <c r="AC1" s="109">
        <v>82</v>
      </c>
      <c r="AD1" s="109" t="s">
        <v>94</v>
      </c>
      <c r="AE1" s="109" t="s">
        <v>101</v>
      </c>
      <c r="AF1" s="173" t="s">
        <v>136</v>
      </c>
      <c r="AG1" s="174">
        <v>39</v>
      </c>
      <c r="AH1" s="176" t="s">
        <v>143</v>
      </c>
      <c r="AI1" s="187">
        <v>54</v>
      </c>
      <c r="AJ1" s="176" t="s">
        <v>143</v>
      </c>
      <c r="AK1" s="188" t="s">
        <v>144</v>
      </c>
      <c r="AL1" s="109">
        <v>67</v>
      </c>
      <c r="AM1" s="181" t="s">
        <v>143</v>
      </c>
      <c r="AN1" s="176" t="s">
        <v>144</v>
      </c>
      <c r="AO1" s="187">
        <v>82</v>
      </c>
      <c r="AP1" s="176" t="s">
        <v>143</v>
      </c>
      <c r="AQ1" s="182" t="s">
        <v>144</v>
      </c>
    </row>
    <row r="2" spans="1:43" x14ac:dyDescent="0.3">
      <c r="S2" s="61">
        <v>39</v>
      </c>
      <c r="T2" s="167" t="s">
        <v>75</v>
      </c>
      <c r="U2" s="167" t="s">
        <v>53</v>
      </c>
      <c r="V2" s="167" t="s">
        <v>167</v>
      </c>
      <c r="W2" s="167" t="s">
        <v>107</v>
      </c>
      <c r="X2" s="167" t="s">
        <v>38</v>
      </c>
      <c r="Y2" s="167" t="s">
        <v>93</v>
      </c>
      <c r="Z2" s="18">
        <v>55</v>
      </c>
      <c r="AA2" s="18">
        <v>46</v>
      </c>
      <c r="AB2" s="18">
        <v>55</v>
      </c>
      <c r="AC2" s="166">
        <v>50</v>
      </c>
      <c r="AD2" s="162">
        <v>0.08</v>
      </c>
      <c r="AE2" s="163" t="s">
        <v>102</v>
      </c>
      <c r="AF2" s="7" t="s">
        <v>137</v>
      </c>
      <c r="AG2" s="18">
        <v>76</v>
      </c>
      <c r="AH2" s="183" t="s">
        <v>147</v>
      </c>
      <c r="AI2" s="189">
        <v>55</v>
      </c>
      <c r="AJ2" s="183" t="s">
        <v>147</v>
      </c>
      <c r="AK2" s="190" t="s">
        <v>147</v>
      </c>
      <c r="AL2" s="184">
        <v>51</v>
      </c>
      <c r="AM2" s="183" t="s">
        <v>147</v>
      </c>
      <c r="AN2" s="185" t="s">
        <v>147</v>
      </c>
      <c r="AO2" s="202">
        <v>69</v>
      </c>
      <c r="AP2" s="185" t="s">
        <v>111</v>
      </c>
      <c r="AQ2" s="195" t="s">
        <v>111</v>
      </c>
    </row>
    <row r="3" spans="1:43" x14ac:dyDescent="0.3">
      <c r="S3" s="61">
        <v>54</v>
      </c>
      <c r="T3" s="167" t="s">
        <v>76</v>
      </c>
      <c r="U3" s="167" t="s">
        <v>80</v>
      </c>
      <c r="V3" s="167" t="s">
        <v>108</v>
      </c>
      <c r="W3" s="167" t="s">
        <v>70</v>
      </c>
      <c r="X3" s="167" t="s">
        <v>41</v>
      </c>
      <c r="Y3" s="167" t="s">
        <v>92</v>
      </c>
      <c r="Z3" s="18">
        <v>76</v>
      </c>
      <c r="AA3" s="18">
        <v>55</v>
      </c>
      <c r="AB3" s="18">
        <v>51</v>
      </c>
      <c r="AC3" s="166">
        <v>69</v>
      </c>
      <c r="AD3" s="162">
        <v>0.06</v>
      </c>
      <c r="AE3" s="163" t="s">
        <v>59</v>
      </c>
      <c r="AF3" s="7" t="s">
        <v>138</v>
      </c>
      <c r="AG3" s="18">
        <v>76</v>
      </c>
      <c r="AH3" s="15" t="s">
        <v>147</v>
      </c>
      <c r="AI3" s="162">
        <v>55</v>
      </c>
      <c r="AJ3" s="15">
        <v>83</v>
      </c>
      <c r="AK3" s="191">
        <v>110</v>
      </c>
      <c r="AL3" s="18">
        <v>51</v>
      </c>
      <c r="AM3" s="15">
        <v>89</v>
      </c>
      <c r="AN3" s="16">
        <v>102</v>
      </c>
      <c r="AO3" s="192">
        <v>69</v>
      </c>
      <c r="AP3" s="16" t="s">
        <v>111</v>
      </c>
      <c r="AQ3" s="196" t="s">
        <v>111</v>
      </c>
    </row>
    <row r="4" spans="1:43" ht="32.4" customHeight="1" x14ac:dyDescent="0.3">
      <c r="S4" s="61">
        <v>67</v>
      </c>
      <c r="T4" s="167" t="s">
        <v>77</v>
      </c>
      <c r="U4" s="167" t="s">
        <v>75</v>
      </c>
      <c r="V4" s="167" t="s">
        <v>81</v>
      </c>
      <c r="W4" s="167"/>
      <c r="X4" s="167" t="s">
        <v>13</v>
      </c>
      <c r="Y4" s="167"/>
      <c r="Z4" s="18"/>
      <c r="AA4" s="18"/>
      <c r="AB4" s="18"/>
      <c r="AC4" s="18"/>
      <c r="AD4" s="162">
        <v>0.04</v>
      </c>
      <c r="AE4" s="163"/>
      <c r="AF4" s="170" t="s">
        <v>136</v>
      </c>
      <c r="AG4" s="18">
        <v>76</v>
      </c>
      <c r="AH4" s="15" t="s">
        <v>147</v>
      </c>
      <c r="AI4" s="162">
        <v>55</v>
      </c>
      <c r="AJ4" s="15" t="s">
        <v>147</v>
      </c>
      <c r="AK4" s="191" t="s">
        <v>147</v>
      </c>
      <c r="AL4" s="18">
        <v>89</v>
      </c>
      <c r="AM4" s="15" t="s">
        <v>147</v>
      </c>
      <c r="AN4" s="16" t="s">
        <v>147</v>
      </c>
      <c r="AO4" s="192">
        <v>69</v>
      </c>
      <c r="AP4" s="16" t="s">
        <v>111</v>
      </c>
      <c r="AQ4" s="196" t="s">
        <v>111</v>
      </c>
    </row>
    <row r="5" spans="1:43" ht="30.6" customHeight="1" x14ac:dyDescent="0.5">
      <c r="A5" s="2" t="s">
        <v>105</v>
      </c>
      <c r="L5" s="35" t="s">
        <v>13</v>
      </c>
      <c r="S5" s="199">
        <v>82</v>
      </c>
      <c r="T5" s="167"/>
      <c r="U5" s="167"/>
      <c r="V5" s="167"/>
      <c r="W5" s="167"/>
      <c r="X5" s="167" t="s">
        <v>13</v>
      </c>
      <c r="Y5" s="167"/>
      <c r="Z5" s="18"/>
      <c r="AA5" s="18"/>
      <c r="AB5" s="18"/>
      <c r="AC5" s="18"/>
      <c r="AD5" s="162"/>
      <c r="AE5" s="163"/>
      <c r="AF5" s="177" t="s">
        <v>142</v>
      </c>
      <c r="AG5" s="18" t="s">
        <v>147</v>
      </c>
      <c r="AH5" s="15" t="s">
        <v>147</v>
      </c>
      <c r="AI5" s="162" t="s">
        <v>147</v>
      </c>
      <c r="AJ5" s="15" t="s">
        <v>147</v>
      </c>
      <c r="AK5" s="191" t="s">
        <v>147</v>
      </c>
      <c r="AL5" s="18" t="s">
        <v>147</v>
      </c>
      <c r="AM5" s="15" t="s">
        <v>147</v>
      </c>
      <c r="AN5" s="16" t="s">
        <v>147</v>
      </c>
      <c r="AO5" s="192" t="s">
        <v>147</v>
      </c>
      <c r="AP5" s="16" t="s">
        <v>111</v>
      </c>
      <c r="AQ5" s="196" t="s">
        <v>111</v>
      </c>
    </row>
    <row r="6" spans="1:43" x14ac:dyDescent="0.3">
      <c r="A6" t="s">
        <v>162</v>
      </c>
      <c r="S6" s="59"/>
      <c r="T6" s="186"/>
      <c r="U6" s="186"/>
      <c r="V6" s="186"/>
      <c r="W6" s="186"/>
      <c r="X6" s="186"/>
      <c r="Y6" s="186"/>
      <c r="Z6" s="7"/>
      <c r="AA6" s="7"/>
      <c r="AB6" s="7"/>
      <c r="AC6" s="7"/>
      <c r="AD6" s="164"/>
      <c r="AE6" s="165"/>
      <c r="AF6" s="177" t="s">
        <v>145</v>
      </c>
      <c r="AG6" s="201" t="s">
        <v>150</v>
      </c>
      <c r="AH6" s="201" t="s">
        <v>111</v>
      </c>
      <c r="AI6" s="192">
        <v>165</v>
      </c>
      <c r="AJ6" s="16" t="s">
        <v>147</v>
      </c>
      <c r="AK6" s="191" t="s">
        <v>147</v>
      </c>
      <c r="AL6" s="166">
        <v>165</v>
      </c>
      <c r="AM6" s="15" t="s">
        <v>147</v>
      </c>
      <c r="AN6" s="9" t="s">
        <v>147</v>
      </c>
      <c r="AO6" s="192">
        <v>165</v>
      </c>
      <c r="AP6" s="16" t="s">
        <v>111</v>
      </c>
      <c r="AQ6" s="196" t="s">
        <v>111</v>
      </c>
    </row>
    <row r="7" spans="1:43" ht="15" thickBot="1" x14ac:dyDescent="0.35">
      <c r="A7" t="s">
        <v>160</v>
      </c>
      <c r="D7" s="1"/>
      <c r="F7" t="s">
        <v>13</v>
      </c>
      <c r="S7" s="175" t="s">
        <v>9</v>
      </c>
      <c r="T7" s="169" t="s">
        <v>134</v>
      </c>
      <c r="U7" s="169" t="s">
        <v>133</v>
      </c>
      <c r="V7" s="169" t="s">
        <v>11</v>
      </c>
      <c r="W7" s="168" t="s">
        <v>131</v>
      </c>
      <c r="X7" s="168" t="s">
        <v>132</v>
      </c>
      <c r="Y7" s="169" t="s">
        <v>132</v>
      </c>
      <c r="Z7" s="8" t="s">
        <v>130</v>
      </c>
      <c r="AA7" s="8"/>
      <c r="AB7" s="8"/>
      <c r="AC7" s="8"/>
      <c r="AD7" s="171" t="s">
        <v>8</v>
      </c>
      <c r="AE7" s="172" t="s">
        <v>135</v>
      </c>
      <c r="AF7" s="178" t="s">
        <v>139</v>
      </c>
      <c r="AG7" s="179">
        <v>164</v>
      </c>
      <c r="AH7" s="180">
        <v>168</v>
      </c>
      <c r="AI7" s="193">
        <v>139</v>
      </c>
      <c r="AJ7" s="180" t="s">
        <v>147</v>
      </c>
      <c r="AK7" s="194" t="s">
        <v>147</v>
      </c>
      <c r="AL7" s="68">
        <v>102</v>
      </c>
      <c r="AM7" s="180" t="s">
        <v>147</v>
      </c>
      <c r="AN7" s="8" t="s">
        <v>147</v>
      </c>
      <c r="AO7" s="193">
        <v>102</v>
      </c>
      <c r="AP7" s="197" t="s">
        <v>111</v>
      </c>
      <c r="AQ7" s="198" t="s">
        <v>111</v>
      </c>
    </row>
    <row r="8" spans="1:43" ht="15.6" thickTop="1" thickBot="1" x14ac:dyDescent="0.35">
      <c r="A8" t="s">
        <v>159</v>
      </c>
      <c r="D8" s="1"/>
      <c r="F8" t="s">
        <v>161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</row>
    <row r="9" spans="1:43" ht="15" thickBot="1" x14ac:dyDescent="0.35">
      <c r="A9" s="3" t="s">
        <v>26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5"/>
      <c r="Q9" s="22" t="s">
        <v>13</v>
      </c>
      <c r="AK9" s="6" t="s">
        <v>148</v>
      </c>
    </row>
    <row r="10" spans="1:43" x14ac:dyDescent="0.3">
      <c r="A10" s="6" t="s">
        <v>13</v>
      </c>
      <c r="B10" s="6" t="s">
        <v>27</v>
      </c>
      <c r="C10" s="6"/>
      <c r="D10" s="6"/>
      <c r="E10" s="234" t="s">
        <v>13</v>
      </c>
      <c r="F10" s="235"/>
      <c r="G10" s="235"/>
      <c r="H10" s="235"/>
      <c r="I10" s="6"/>
      <c r="J10" s="6"/>
      <c r="K10" s="6"/>
      <c r="L10" s="6"/>
      <c r="M10" s="6"/>
      <c r="N10" s="6"/>
      <c r="T10" s="145"/>
      <c r="U10" t="s">
        <v>121</v>
      </c>
      <c r="AK10" s="6" t="s">
        <v>149</v>
      </c>
    </row>
    <row r="11" spans="1:43" x14ac:dyDescent="0.3">
      <c r="A11" s="6"/>
      <c r="B11" s="6" t="s">
        <v>28</v>
      </c>
      <c r="C11" s="6"/>
      <c r="D11" s="6"/>
      <c r="E11" s="236" t="s">
        <v>13</v>
      </c>
      <c r="F11" s="237"/>
      <c r="G11" s="237"/>
      <c r="H11" s="237"/>
      <c r="I11" s="6"/>
      <c r="J11" s="6"/>
      <c r="K11" s="6"/>
      <c r="L11" s="6"/>
      <c r="M11" s="6"/>
      <c r="N11" s="6"/>
      <c r="T11" s="146"/>
      <c r="U11" t="s">
        <v>120</v>
      </c>
    </row>
    <row r="12" spans="1:43" x14ac:dyDescent="0.3">
      <c r="A12" s="6"/>
      <c r="B12" s="6" t="s">
        <v>29</v>
      </c>
      <c r="C12" s="6"/>
      <c r="D12" s="6"/>
      <c r="E12" s="236" t="s">
        <v>13</v>
      </c>
      <c r="F12" s="237"/>
      <c r="G12" s="237"/>
      <c r="H12" s="237"/>
      <c r="I12" s="6"/>
      <c r="J12" s="6"/>
      <c r="K12" s="6"/>
      <c r="L12" s="6"/>
      <c r="M12" s="6"/>
      <c r="N12" s="6"/>
      <c r="T12" s="147"/>
      <c r="U12" t="s">
        <v>119</v>
      </c>
    </row>
    <row r="13" spans="1:43" x14ac:dyDescent="0.3">
      <c r="A13" s="6"/>
      <c r="B13" s="6" t="s">
        <v>30</v>
      </c>
      <c r="C13" s="6"/>
      <c r="D13" s="6"/>
      <c r="E13" s="236" t="s">
        <v>13</v>
      </c>
      <c r="F13" s="237"/>
      <c r="G13" s="237"/>
      <c r="H13" s="237"/>
      <c r="I13" s="6"/>
      <c r="J13" s="6"/>
      <c r="K13" s="6"/>
      <c r="L13" s="6"/>
      <c r="M13" s="6"/>
      <c r="N13" s="6"/>
    </row>
    <row r="14" spans="1:43" ht="9" customHeight="1" thickBot="1" x14ac:dyDescent="0.35">
      <c r="A14" s="6"/>
      <c r="B14" s="6"/>
      <c r="C14" s="6"/>
      <c r="D14" s="6"/>
      <c r="F14" s="6"/>
      <c r="G14" s="6"/>
      <c r="H14" s="6"/>
      <c r="I14" s="6"/>
      <c r="J14" s="6"/>
      <c r="K14" s="6"/>
      <c r="L14" s="6"/>
      <c r="M14" s="6"/>
      <c r="N14" s="6"/>
    </row>
    <row r="15" spans="1:43" ht="15" thickBot="1" x14ac:dyDescent="0.35">
      <c r="A15" s="3" t="s">
        <v>31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5"/>
      <c r="Q15" s="22"/>
    </row>
    <row r="16" spans="1:43" s="6" customFormat="1" x14ac:dyDescent="0.3">
      <c r="A16" s="152" t="s">
        <v>0</v>
      </c>
      <c r="M16" s="226"/>
      <c r="N16" s="6" t="s">
        <v>163</v>
      </c>
    </row>
    <row r="17" spans="1:46" s="6" customFormat="1" x14ac:dyDescent="0.3">
      <c r="A17" s="24"/>
      <c r="B17" s="24" t="s">
        <v>32</v>
      </c>
      <c r="C17" s="24"/>
      <c r="D17" s="24"/>
      <c r="E17" s="232">
        <v>900</v>
      </c>
      <c r="F17" s="24" t="s">
        <v>35</v>
      </c>
      <c r="G17" s="24" t="s">
        <v>13</v>
      </c>
      <c r="H17" s="24"/>
      <c r="I17" s="24"/>
      <c r="J17" s="24"/>
      <c r="K17" s="24"/>
      <c r="L17" s="24"/>
      <c r="M17" s="227"/>
      <c r="N17" s="6" t="s">
        <v>164</v>
      </c>
      <c r="O17" s="24"/>
      <c r="P17" s="24"/>
    </row>
    <row r="18" spans="1:46" s="6" customFormat="1" x14ac:dyDescent="0.3">
      <c r="A18" s="9"/>
      <c r="B18" s="9" t="s">
        <v>33</v>
      </c>
      <c r="C18" s="9"/>
      <c r="D18" s="9"/>
      <c r="E18" s="233">
        <v>2315</v>
      </c>
      <c r="F18" s="9" t="s">
        <v>35</v>
      </c>
      <c r="G18" s="9" t="s">
        <v>13</v>
      </c>
      <c r="H18" s="9"/>
      <c r="M18" s="228"/>
      <c r="N18" s="6" t="s">
        <v>165</v>
      </c>
      <c r="O18" s="13"/>
      <c r="P18" s="39"/>
      <c r="Q18" s="13"/>
    </row>
    <row r="19" spans="1:46" s="6" customFormat="1" x14ac:dyDescent="0.3">
      <c r="A19" s="9"/>
      <c r="B19" s="9" t="s">
        <v>34</v>
      </c>
      <c r="C19" s="9"/>
      <c r="D19" s="9"/>
      <c r="E19" s="230">
        <v>39</v>
      </c>
      <c r="F19" s="9" t="s">
        <v>35</v>
      </c>
      <c r="G19" s="9" t="s">
        <v>13</v>
      </c>
      <c r="H19" s="9"/>
      <c r="I19" s="9"/>
      <c r="J19" s="9"/>
      <c r="K19" s="9"/>
      <c r="L19" s="9"/>
      <c r="M19" s="229"/>
      <c r="N19" s="6" t="s">
        <v>166</v>
      </c>
      <c r="O19" s="9"/>
      <c r="P19" s="9"/>
      <c r="S19"/>
    </row>
    <row r="20" spans="1:46" s="6" customFormat="1" x14ac:dyDescent="0.3">
      <c r="B20" s="6" t="s">
        <v>10</v>
      </c>
      <c r="E20" s="231" t="s">
        <v>70</v>
      </c>
      <c r="K20" s="29" t="s">
        <v>13</v>
      </c>
      <c r="L20" s="30"/>
      <c r="M20" s="30"/>
      <c r="N20" s="30"/>
      <c r="O20" s="3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</row>
    <row r="21" spans="1:46" s="6" customFormat="1" x14ac:dyDescent="0.3">
      <c r="B21" s="6" t="s">
        <v>11</v>
      </c>
      <c r="E21" s="231" t="s">
        <v>167</v>
      </c>
      <c r="F21" s="6" t="s">
        <v>13</v>
      </c>
      <c r="K21" s="31" t="s">
        <v>90</v>
      </c>
      <c r="L21" s="30"/>
      <c r="M21" s="30"/>
      <c r="N21" s="30"/>
      <c r="O21" s="30"/>
      <c r="R21"/>
      <c r="S21"/>
      <c r="T21" t="s">
        <v>169</v>
      </c>
      <c r="U21"/>
      <c r="V21"/>
      <c r="W21"/>
      <c r="X21"/>
      <c r="Y21"/>
      <c r="Z21"/>
      <c r="AA21"/>
      <c r="AB21"/>
      <c r="AC21"/>
      <c r="AD21"/>
      <c r="AE21"/>
    </row>
    <row r="22" spans="1:46" s="6" customFormat="1" ht="10.8" customHeight="1" x14ac:dyDescent="0.3">
      <c r="K22" s="31"/>
      <c r="L22" s="30"/>
      <c r="M22" s="30"/>
      <c r="N22" s="30"/>
      <c r="O22" s="30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46" x14ac:dyDescent="0.3">
      <c r="A23" s="152" t="s">
        <v>87</v>
      </c>
    </row>
    <row r="24" spans="1:46" s="6" customFormat="1" ht="12" x14ac:dyDescent="0.25">
      <c r="A24" s="9"/>
      <c r="B24" s="9" t="s">
        <v>72</v>
      </c>
      <c r="C24" s="9"/>
      <c r="D24" s="9"/>
      <c r="E24" s="230" t="s">
        <v>75</v>
      </c>
      <c r="F24" s="55" t="str">
        <f>IF(E24="geen"," ",IF(AND(E24="B30",E21="kurk")," ",IF(AND(E24="B60",E21="kurk")," ", "alleen mogelijk met kurk-vulling ")))</f>
        <v xml:space="preserve"> </v>
      </c>
      <c r="G24" s="9"/>
      <c r="H24" s="9"/>
      <c r="I24" s="9"/>
      <c r="J24" s="9"/>
      <c r="K24" s="9"/>
      <c r="L24" s="9"/>
      <c r="M24" s="9"/>
      <c r="N24" s="9"/>
      <c r="O24" s="9"/>
      <c r="P24" s="9"/>
      <c r="T24" s="6" t="s">
        <v>153</v>
      </c>
    </row>
    <row r="25" spans="1:46" s="6" customFormat="1" ht="12" x14ac:dyDescent="0.25">
      <c r="A25" s="9"/>
      <c r="B25" s="9" t="s">
        <v>78</v>
      </c>
      <c r="C25" s="9"/>
      <c r="D25" s="9"/>
      <c r="E25" s="230" t="s">
        <v>75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T25" s="6" t="s">
        <v>168</v>
      </c>
    </row>
    <row r="26" spans="1:46" s="6" customFormat="1" ht="12" x14ac:dyDescent="0.25">
      <c r="A26" s="9"/>
      <c r="B26" s="9" t="s">
        <v>124</v>
      </c>
      <c r="C26" s="9"/>
      <c r="D26" s="9"/>
      <c r="E26" s="230" t="s">
        <v>59</v>
      </c>
      <c r="F26" s="9"/>
      <c r="G26" s="148" t="str">
        <f>IF(E26="nee", "  ","nieuwe breedte :")</f>
        <v xml:space="preserve">  </v>
      </c>
      <c r="H26" s="149"/>
      <c r="I26" s="158" t="s">
        <v>13</v>
      </c>
      <c r="J26" s="150" t="str">
        <f>IF(E26="nee"," ","mm")</f>
        <v xml:space="preserve"> </v>
      </c>
      <c r="K26" s="9"/>
      <c r="L26" s="9"/>
      <c r="M26" s="9"/>
      <c r="N26" s="9"/>
      <c r="O26" s="9"/>
      <c r="P26" s="9"/>
      <c r="T26" s="6" t="s">
        <v>125</v>
      </c>
      <c r="AT26" s="6" t="s">
        <v>13</v>
      </c>
    </row>
    <row r="27" spans="1:46" s="6" customFormat="1" ht="9.6" customHeight="1" x14ac:dyDescent="0.25">
      <c r="A27" s="9"/>
      <c r="B27" s="9"/>
      <c r="C27" s="9"/>
      <c r="D27" s="9"/>
      <c r="E27" s="15"/>
      <c r="F27" s="9"/>
      <c r="G27" s="9" t="s">
        <v>13</v>
      </c>
      <c r="H27" s="9"/>
      <c r="I27" s="9"/>
      <c r="J27" s="9"/>
      <c r="K27" s="9"/>
      <c r="L27" s="9"/>
      <c r="M27" s="9"/>
      <c r="N27" s="9"/>
      <c r="O27" s="9"/>
      <c r="P27" s="9"/>
    </row>
    <row r="28" spans="1:46" s="6" customFormat="1" x14ac:dyDescent="0.3">
      <c r="A28" s="25" t="s">
        <v>13</v>
      </c>
      <c r="B28" s="151" t="s">
        <v>126</v>
      </c>
      <c r="C28" s="25"/>
      <c r="D28" s="25"/>
      <c r="E28" s="26"/>
      <c r="F28" s="25"/>
      <c r="G28" s="25"/>
      <c r="H28" s="25"/>
      <c r="I28" s="25" t="s">
        <v>44</v>
      </c>
      <c r="J28" s="25"/>
      <c r="K28" s="27" t="s">
        <v>69</v>
      </c>
      <c r="L28" s="25"/>
      <c r="M28" s="25"/>
      <c r="N28" s="25"/>
      <c r="O28" s="25" t="s">
        <v>13</v>
      </c>
      <c r="P28" s="25"/>
      <c r="Q28" s="6" t="s">
        <v>13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46" s="6" customFormat="1" x14ac:dyDescent="0.3">
      <c r="B29" s="6" t="s">
        <v>46</v>
      </c>
      <c r="C29" s="24"/>
      <c r="D29" s="24"/>
      <c r="E29" s="102">
        <f>IF(E26= "ja",I26,IF(E19=54,AI2,IF(E19=67,AL2,IF(E19=39,AG2,IF(E19=82,AO2)))))</f>
        <v>76</v>
      </c>
      <c r="F29" s="24" t="s">
        <v>35</v>
      </c>
      <c r="G29" s="24" t="s">
        <v>13</v>
      </c>
      <c r="H29" s="24"/>
      <c r="I29" s="24" t="s">
        <v>45</v>
      </c>
      <c r="J29" s="24"/>
      <c r="K29" s="103">
        <v>0.13</v>
      </c>
      <c r="L29" s="24"/>
      <c r="M29" s="24"/>
      <c r="N29" s="24"/>
      <c r="O29" s="24"/>
      <c r="P29" s="24"/>
      <c r="R29"/>
      <c r="S29"/>
      <c r="T29" t="s">
        <v>140</v>
      </c>
      <c r="U29"/>
      <c r="V29"/>
      <c r="W29"/>
      <c r="X29"/>
      <c r="Y29"/>
      <c r="Z29"/>
      <c r="AA29"/>
      <c r="AB29"/>
      <c r="AC29"/>
      <c r="AD29"/>
      <c r="AE29"/>
    </row>
    <row r="30" spans="1:46" s="6" customFormat="1" x14ac:dyDescent="0.3">
      <c r="B30" s="6" t="s">
        <v>47</v>
      </c>
      <c r="C30" s="9"/>
      <c r="D30" s="9"/>
      <c r="E30" s="71">
        <f>IF(E19=39,AG3,IF(AND(E19=54,E24="geen"),AI3,IF(AND(E19=54,E24="B30"),AJ3,IF(AND(E19=54,E24="B60"),AK3,IF(AND(E19=67,E24="geen"),AL3,IF(AND(E19=67,E24="B30"),AM3,IF(AND(E19=67,E24="B60"),AN3,IF(AND(E19=82,E24="geen"),AO3,IF(AND(E19=82,E24="B30"),AP3,IF(AND(E19=82,E24="B60"),AQ3))))))))))</f>
        <v>76</v>
      </c>
      <c r="F30" s="9" t="s">
        <v>35</v>
      </c>
      <c r="G30" s="9" t="s">
        <v>13</v>
      </c>
      <c r="H30" s="9"/>
      <c r="I30" s="9" t="s">
        <v>45</v>
      </c>
      <c r="J30" s="9"/>
      <c r="K30" s="38">
        <v>0.13</v>
      </c>
      <c r="L30" s="9"/>
      <c r="M30" s="9"/>
      <c r="N30" s="9"/>
      <c r="O30" s="9"/>
      <c r="P30" s="9"/>
      <c r="R30"/>
      <c r="S30"/>
      <c r="U30"/>
      <c r="V30"/>
      <c r="W30"/>
      <c r="X30"/>
      <c r="Y30"/>
      <c r="Z30"/>
      <c r="AA30"/>
      <c r="AB30"/>
      <c r="AC30"/>
      <c r="AD30"/>
      <c r="AE30"/>
    </row>
    <row r="31" spans="1:46" s="6" customFormat="1" x14ac:dyDescent="0.3">
      <c r="B31" s="6" t="s">
        <v>48</v>
      </c>
      <c r="C31" s="9"/>
      <c r="D31" s="9"/>
      <c r="E31" s="71">
        <f>IF(AND(E19=39,E25="std"),AG4,IF(AND(E19=54,E25="std"),AI4,IF(AND(E19=67,E25="std"),AL4,IF(AND(E19=82,E25="std"),AO4,IF(AND(E19=39,E25="WX"),AG6,IF(AND(E19=54,E25="WX"),AI6,IF(AND(E19=67,E25="WX"),AL6,IF(AND(E19=82,E25="WX"),AO6,IF(AND(E19=39,E25="geen"),AG4,IF(AND(E19=54,E25="geen"),AI4,IF(AND(E19=67,E25="geen"),AL4,IF(AND(E19=82,E25="geen"),AO4))))))))))))</f>
        <v>76</v>
      </c>
      <c r="F31" s="9" t="s">
        <v>35</v>
      </c>
      <c r="G31" s="9"/>
      <c r="H31" s="9"/>
      <c r="I31" s="9" t="s">
        <v>45</v>
      </c>
      <c r="J31" s="9"/>
      <c r="K31" s="38">
        <v>0.13</v>
      </c>
      <c r="L31" s="9"/>
      <c r="M31" s="9"/>
      <c r="N31" s="9"/>
      <c r="O31" s="9"/>
      <c r="P31" s="9"/>
      <c r="R31"/>
      <c r="S31"/>
      <c r="T31"/>
      <c r="V31"/>
      <c r="W31"/>
      <c r="X31"/>
      <c r="Y31"/>
      <c r="Z31"/>
      <c r="AA31"/>
      <c r="AB31"/>
      <c r="AC31"/>
      <c r="AD31"/>
      <c r="AE31"/>
    </row>
    <row r="32" spans="1:46" s="6" customFormat="1" x14ac:dyDescent="0.3">
      <c r="B32" s="6" t="s">
        <v>49</v>
      </c>
      <c r="C32" s="9"/>
      <c r="D32" s="9"/>
      <c r="E32" s="71">
        <f>IF(AND(E19=39,E24="geen"),AG7,IF(AND(E19=39,E24="B30"),AH7,IF(E19=54,AI7,IF(E19=67,AL7,IF(AND(E19=82,E24="geen"),AO7,"niet in BW")))))</f>
        <v>164</v>
      </c>
      <c r="F32" s="9" t="s">
        <v>35</v>
      </c>
      <c r="G32" s="15" t="s">
        <v>13</v>
      </c>
      <c r="H32" s="9" t="s">
        <v>13</v>
      </c>
      <c r="I32" s="9" t="s">
        <v>45</v>
      </c>
      <c r="J32" s="9"/>
      <c r="K32" s="38">
        <v>0.13</v>
      </c>
      <c r="L32" s="9"/>
      <c r="M32" s="9"/>
      <c r="N32" s="7" t="s">
        <v>13</v>
      </c>
      <c r="O32" s="9"/>
      <c r="P32" s="9"/>
      <c r="R32"/>
      <c r="S32"/>
      <c r="T32" t="s">
        <v>141</v>
      </c>
      <c r="U32"/>
      <c r="V32"/>
      <c r="W32"/>
      <c r="X32"/>
      <c r="Y32"/>
      <c r="Z32"/>
      <c r="AA32"/>
      <c r="AB32"/>
      <c r="AC32"/>
      <c r="AD32"/>
      <c r="AE32"/>
    </row>
    <row r="33" spans="1:37" s="6" customFormat="1" x14ac:dyDescent="0.3">
      <c r="C33" s="9"/>
      <c r="D33" s="9"/>
      <c r="E33" s="15"/>
      <c r="F33" s="9"/>
      <c r="G33" s="9"/>
      <c r="H33" s="9"/>
      <c r="I33" s="9"/>
      <c r="J33" s="9"/>
      <c r="K33" s="13"/>
      <c r="L33" s="13"/>
      <c r="M33" s="13"/>
      <c r="N33" s="13"/>
      <c r="O33" s="13"/>
      <c r="P33" s="9"/>
      <c r="R33"/>
      <c r="S33"/>
      <c r="T33"/>
      <c r="U33" t="s">
        <v>154</v>
      </c>
      <c r="V33"/>
      <c r="W33"/>
      <c r="X33"/>
      <c r="Y33"/>
      <c r="Z33"/>
      <c r="AA33"/>
      <c r="AB33"/>
      <c r="AC33"/>
      <c r="AD33"/>
      <c r="AE33"/>
    </row>
    <row r="34" spans="1:37" s="6" customFormat="1" x14ac:dyDescent="0.3">
      <c r="A34" s="152" t="s">
        <v>1</v>
      </c>
      <c r="C34" s="25"/>
      <c r="D34" s="25"/>
      <c r="E34" s="26"/>
      <c r="F34" s="25"/>
      <c r="G34" s="25"/>
      <c r="H34" s="25"/>
      <c r="I34" s="25"/>
      <c r="J34" s="25"/>
      <c r="K34" s="25"/>
      <c r="L34" s="25"/>
      <c r="M34" s="25"/>
      <c r="N34" s="25"/>
      <c r="O34" s="104"/>
      <c r="P34" s="25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7" s="6" customFormat="1" x14ac:dyDescent="0.3">
      <c r="A35" s="24"/>
      <c r="B35" s="24" t="s">
        <v>3</v>
      </c>
      <c r="C35" s="9"/>
      <c r="D35" s="9"/>
      <c r="E35" s="238" t="s">
        <v>41</v>
      </c>
      <c r="F35" s="101" t="str">
        <f>IF(AND(E35="T",E24="B30"),"type TB",IF(AND(E35="T",E24="B60"),"type TBP","  "))</f>
        <v xml:space="preserve">  </v>
      </c>
      <c r="G35" s="9"/>
      <c r="H35" s="9"/>
      <c r="I35" s="9"/>
      <c r="J35" s="9"/>
      <c r="P35" s="9"/>
      <c r="R35"/>
      <c r="S35"/>
      <c r="T35" t="s">
        <v>97</v>
      </c>
      <c r="U35"/>
      <c r="V35"/>
      <c r="W35"/>
      <c r="X35"/>
      <c r="Y35"/>
      <c r="Z35"/>
      <c r="AA35"/>
      <c r="AB35"/>
      <c r="AC35"/>
      <c r="AD35"/>
      <c r="AE35"/>
    </row>
    <row r="36" spans="1:37" s="6" customFormat="1" x14ac:dyDescent="0.3">
      <c r="A36" s="9"/>
      <c r="C36" s="9"/>
      <c r="D36" s="9"/>
      <c r="E36"/>
      <c r="F36" s="9"/>
      <c r="J36" s="6" t="s">
        <v>13</v>
      </c>
      <c r="K36" s="30" t="s">
        <v>2</v>
      </c>
      <c r="L36" s="30"/>
      <c r="M36" s="30"/>
      <c r="N36" s="30" t="s">
        <v>56</v>
      </c>
      <c r="O36" s="13"/>
      <c r="P36" s="9"/>
      <c r="R36"/>
      <c r="S36"/>
      <c r="T36"/>
      <c r="U36" t="s">
        <v>155</v>
      </c>
      <c r="V36"/>
      <c r="W36"/>
      <c r="X36"/>
      <c r="Y36"/>
      <c r="Z36"/>
      <c r="AA36"/>
      <c r="AB36"/>
      <c r="AC36"/>
      <c r="AD36"/>
      <c r="AE36"/>
    </row>
    <row r="37" spans="1:37" s="6" customFormat="1" x14ac:dyDescent="0.3">
      <c r="A37" s="9"/>
      <c r="B37" s="9" t="s">
        <v>95</v>
      </c>
      <c r="C37" s="9"/>
      <c r="D37" s="9"/>
      <c r="E37"/>
      <c r="F37" s="9"/>
      <c r="G37" s="6" t="s">
        <v>37</v>
      </c>
      <c r="I37" s="6" t="s">
        <v>50</v>
      </c>
      <c r="J37" s="9"/>
      <c r="K37" s="32" t="s">
        <v>51</v>
      </c>
      <c r="L37" s="32" t="s">
        <v>52</v>
      </c>
      <c r="M37" s="32"/>
      <c r="N37" s="32" t="s">
        <v>55</v>
      </c>
      <c r="O37" s="32" t="s">
        <v>54</v>
      </c>
      <c r="P37" s="9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7" s="6" customFormat="1" x14ac:dyDescent="0.3">
      <c r="A38" s="9"/>
      <c r="B38" s="9" t="s">
        <v>4</v>
      </c>
      <c r="C38" s="9"/>
      <c r="D38" s="9"/>
      <c r="E38" s="239">
        <v>2</v>
      </c>
      <c r="F38" s="9" t="s">
        <v>36</v>
      </c>
      <c r="G38" s="239">
        <v>400</v>
      </c>
      <c r="H38" s="28" t="s">
        <v>35</v>
      </c>
      <c r="I38" s="9"/>
      <c r="J38" s="9"/>
      <c r="K38" s="33">
        <f>3.1427*E38*(G38/1000)*(G38/1000)/4</f>
        <v>0.25141600000000003</v>
      </c>
      <c r="L38" s="33">
        <f>3.1427*E38*G38/1000</f>
        <v>2.51416</v>
      </c>
      <c r="M38" s="13"/>
      <c r="N38" s="34">
        <f>AK73</f>
        <v>76</v>
      </c>
      <c r="O38" s="33">
        <f>3.1427*E38*((G38+2*N38)*(G38+2*N38)-G38*G38)/1000000/4</f>
        <v>0.22738063040000001</v>
      </c>
      <c r="P38" s="9"/>
      <c r="R38"/>
      <c r="S38"/>
      <c r="T38"/>
      <c r="U38"/>
      <c r="V38"/>
      <c r="W38"/>
      <c r="X38"/>
      <c r="Y38"/>
      <c r="Z38"/>
      <c r="AA38"/>
      <c r="AB38"/>
      <c r="AC38"/>
      <c r="AD38"/>
      <c r="AE38"/>
    </row>
    <row r="39" spans="1:37" s="6" customFormat="1" x14ac:dyDescent="0.3">
      <c r="A39" s="9"/>
      <c r="B39" s="9" t="s">
        <v>4</v>
      </c>
      <c r="C39" s="9"/>
      <c r="D39" s="9"/>
      <c r="E39" s="239">
        <v>2</v>
      </c>
      <c r="F39" s="9" t="s">
        <v>36</v>
      </c>
      <c r="G39" s="239">
        <v>200</v>
      </c>
      <c r="H39" s="28" t="s">
        <v>35</v>
      </c>
      <c r="I39" s="9"/>
      <c r="J39" s="9"/>
      <c r="K39" s="33">
        <f>3.1427*E39*(G39/1000)*(G39/1000)/4</f>
        <v>6.2854000000000007E-2</v>
      </c>
      <c r="L39" s="33">
        <f>3.1427*E39*G39/1000</f>
        <v>1.25708</v>
      </c>
      <c r="M39" s="13"/>
      <c r="N39" s="34">
        <f>N38</f>
        <v>76</v>
      </c>
      <c r="O39" s="33">
        <f>3.1427*E39*((G39+2*N39)*(G39+2*N39)-G39*G39)/1000000/4</f>
        <v>0.13184255040000001</v>
      </c>
      <c r="P39" s="9"/>
      <c r="R39"/>
      <c r="S39"/>
      <c r="T39" t="s">
        <v>122</v>
      </c>
      <c r="U39"/>
      <c r="V39"/>
      <c r="W39"/>
      <c r="X39"/>
      <c r="Y39"/>
      <c r="Z39"/>
      <c r="AA39"/>
      <c r="AB39"/>
      <c r="AC39"/>
      <c r="AD39"/>
      <c r="AE39"/>
    </row>
    <row r="40" spans="1:37" s="6" customFormat="1" x14ac:dyDescent="0.3">
      <c r="A40" s="9"/>
      <c r="B40" s="9" t="s">
        <v>5</v>
      </c>
      <c r="C40" s="9"/>
      <c r="D40" s="9"/>
      <c r="E40" s="239">
        <v>0</v>
      </c>
      <c r="F40" s="9" t="s">
        <v>36</v>
      </c>
      <c r="G40" s="239">
        <v>100</v>
      </c>
      <c r="H40" s="28" t="s">
        <v>35</v>
      </c>
      <c r="I40" s="239">
        <v>1000</v>
      </c>
      <c r="J40" s="28" t="s">
        <v>35</v>
      </c>
      <c r="K40" s="33">
        <f>E40*G40*I40/1000000</f>
        <v>0</v>
      </c>
      <c r="L40" s="33">
        <f>E40*2*(G40+I40)/1000</f>
        <v>0</v>
      </c>
      <c r="M40" s="13"/>
      <c r="N40" s="34">
        <f>N38</f>
        <v>76</v>
      </c>
      <c r="O40" s="33">
        <f>E40*((G40+2*N40)*2*N40+(I40*N40)*2)/1000000</f>
        <v>0</v>
      </c>
      <c r="P40" s="9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7" s="6" customFormat="1" x14ac:dyDescent="0.3">
      <c r="A41" s="9"/>
      <c r="B41" s="9" t="s">
        <v>5</v>
      </c>
      <c r="C41" s="9"/>
      <c r="D41" s="9"/>
      <c r="E41" s="239">
        <v>0</v>
      </c>
      <c r="F41" s="9" t="s">
        <v>36</v>
      </c>
      <c r="G41" s="239">
        <v>200</v>
      </c>
      <c r="H41" s="28" t="s">
        <v>35</v>
      </c>
      <c r="I41" s="239">
        <v>500</v>
      </c>
      <c r="J41" s="28" t="s">
        <v>35</v>
      </c>
      <c r="K41" s="33">
        <f t="shared" ref="K41:K44" si="0">E41*G41*I41/1000000</f>
        <v>0</v>
      </c>
      <c r="L41" s="33">
        <f t="shared" ref="L41:L44" si="1">E41*2*(G41+I41)/1000</f>
        <v>0</v>
      </c>
      <c r="M41" s="13"/>
      <c r="N41" s="34">
        <f>N38</f>
        <v>76</v>
      </c>
      <c r="O41" s="33">
        <f>E41*((G41+2*N41)*2*N41+(I41*N41)*2)/1000000</f>
        <v>0</v>
      </c>
      <c r="P41" s="9"/>
      <c r="R41"/>
      <c r="S41"/>
      <c r="T41"/>
      <c r="U41"/>
      <c r="V41"/>
      <c r="W41"/>
      <c r="X41"/>
      <c r="Y41" s="170" t="s">
        <v>13</v>
      </c>
      <c r="Z41" s="170"/>
      <c r="AA41" s="170" t="s">
        <v>13</v>
      </c>
      <c r="AB41" s="170"/>
      <c r="AC41" s="170"/>
      <c r="AD41" s="170"/>
      <c r="AE41" s="170"/>
      <c r="AF41" s="13"/>
      <c r="AG41" s="13"/>
      <c r="AH41" s="13"/>
    </row>
    <row r="42" spans="1:37" s="6" customFormat="1" x14ac:dyDescent="0.3">
      <c r="A42" s="9"/>
      <c r="B42" s="9" t="s">
        <v>5</v>
      </c>
      <c r="C42" s="9"/>
      <c r="D42" s="9"/>
      <c r="E42" s="239">
        <v>0</v>
      </c>
      <c r="F42" s="9" t="s">
        <v>36</v>
      </c>
      <c r="G42" s="239">
        <v>200</v>
      </c>
      <c r="H42" s="28" t="s">
        <v>35</v>
      </c>
      <c r="I42" s="239">
        <v>500</v>
      </c>
      <c r="J42" s="28" t="s">
        <v>35</v>
      </c>
      <c r="K42" s="33">
        <f t="shared" ref="K42" si="2">E42*G42*I42/1000000</f>
        <v>0</v>
      </c>
      <c r="L42" s="33">
        <f t="shared" ref="L42" si="3">E42*2*(G42+I42)/1000</f>
        <v>0</v>
      </c>
      <c r="M42" s="13"/>
      <c r="N42" s="34">
        <f>N39</f>
        <v>76</v>
      </c>
      <c r="O42" s="33">
        <f>E42*((G42+2*N42)*2*N42+(I42*N42)*2)/1000000</f>
        <v>0</v>
      </c>
      <c r="P42" s="9"/>
      <c r="R42"/>
      <c r="S42"/>
      <c r="T42"/>
      <c r="U42"/>
      <c r="V42"/>
      <c r="W42"/>
      <c r="X42" t="s">
        <v>13</v>
      </c>
      <c r="Y42" s="170" t="s">
        <v>13</v>
      </c>
      <c r="Z42" s="170"/>
      <c r="AA42" s="170" t="s">
        <v>13</v>
      </c>
      <c r="AB42" s="170"/>
      <c r="AC42" s="170"/>
      <c r="AD42" s="170"/>
      <c r="AE42" s="170"/>
      <c r="AF42" s="13"/>
      <c r="AG42" s="13"/>
      <c r="AH42" s="13"/>
    </row>
    <row r="43" spans="1:37" s="6" customFormat="1" x14ac:dyDescent="0.3">
      <c r="A43" s="9"/>
      <c r="B43" s="9" t="s">
        <v>6</v>
      </c>
      <c r="C43" s="9"/>
      <c r="D43" s="9"/>
      <c r="E43" s="239">
        <v>0</v>
      </c>
      <c r="F43" s="9" t="s">
        <v>36</v>
      </c>
      <c r="G43" s="239">
        <v>200</v>
      </c>
      <c r="H43" s="28" t="s">
        <v>35</v>
      </c>
      <c r="I43" s="239">
        <v>800</v>
      </c>
      <c r="J43" s="28" t="s">
        <v>35</v>
      </c>
      <c r="K43" s="33">
        <f t="shared" si="0"/>
        <v>0</v>
      </c>
      <c r="L43" s="33">
        <f t="shared" si="1"/>
        <v>0</v>
      </c>
      <c r="M43" s="13"/>
      <c r="N43" s="34">
        <f>N38</f>
        <v>76</v>
      </c>
      <c r="O43" s="33">
        <f>E43*((G43+2*N43)*2*N43+(I43*N43)*2)/1000000</f>
        <v>0</v>
      </c>
      <c r="P43" s="9"/>
      <c r="R43"/>
      <c r="S43"/>
      <c r="T43"/>
      <c r="U43"/>
      <c r="V43"/>
      <c r="W43"/>
      <c r="X43"/>
      <c r="Y43" s="170"/>
      <c r="Z43" s="170"/>
      <c r="AA43" s="170" t="s">
        <v>13</v>
      </c>
      <c r="AB43" s="170"/>
      <c r="AC43" s="170"/>
      <c r="AD43" s="170"/>
      <c r="AE43" s="170"/>
      <c r="AF43" s="13"/>
      <c r="AG43" s="13"/>
      <c r="AH43" s="13"/>
    </row>
    <row r="44" spans="1:37" s="6" customFormat="1" ht="15" thickBot="1" x14ac:dyDescent="0.35">
      <c r="A44" s="9"/>
      <c r="B44" s="9" t="s">
        <v>6</v>
      </c>
      <c r="C44" s="9"/>
      <c r="D44" s="9"/>
      <c r="E44" s="239">
        <v>0</v>
      </c>
      <c r="F44" s="9" t="s">
        <v>36</v>
      </c>
      <c r="G44" s="239">
        <v>200</v>
      </c>
      <c r="H44" s="28" t="s">
        <v>35</v>
      </c>
      <c r="I44" s="239">
        <v>1200</v>
      </c>
      <c r="J44" s="28" t="s">
        <v>35</v>
      </c>
      <c r="K44" s="33">
        <f t="shared" si="0"/>
        <v>0</v>
      </c>
      <c r="L44" s="37">
        <f t="shared" si="1"/>
        <v>0</v>
      </c>
      <c r="M44" s="13"/>
      <c r="N44" s="16">
        <f>N38</f>
        <v>76</v>
      </c>
      <c r="O44" s="33">
        <f>E44*((G44+2*N44)*2*N44+(I44*N44)*2)/1000000</f>
        <v>0</v>
      </c>
      <c r="P44" s="9"/>
      <c r="R44"/>
      <c r="S44"/>
      <c r="T44"/>
      <c r="U44"/>
      <c r="V44"/>
      <c r="W44"/>
      <c r="X44"/>
      <c r="Y44" s="170"/>
      <c r="Z44" s="170"/>
      <c r="AA44" s="170" t="s">
        <v>13</v>
      </c>
      <c r="AB44" s="170"/>
      <c r="AC44" s="170"/>
      <c r="AD44" s="170"/>
      <c r="AE44" s="170"/>
      <c r="AF44" s="13"/>
      <c r="AG44" s="13"/>
      <c r="AH44" s="13"/>
    </row>
    <row r="45" spans="1:37" s="6" customFormat="1" ht="12.6" thickTop="1" x14ac:dyDescent="0.25">
      <c r="A45" s="9"/>
      <c r="B45" s="9"/>
      <c r="C45" s="9"/>
      <c r="D45" s="9"/>
      <c r="E45" s="15" t="s">
        <v>13</v>
      </c>
      <c r="F45" s="9"/>
      <c r="G45" s="9"/>
      <c r="H45" s="9"/>
      <c r="I45" s="9"/>
      <c r="J45" s="9"/>
      <c r="K45" s="9"/>
      <c r="L45" s="38">
        <f>SUM(L38:L44)</f>
        <v>3.7712399999999997</v>
      </c>
      <c r="M45" s="9" t="s">
        <v>100</v>
      </c>
      <c r="N45" s="9"/>
      <c r="O45" s="93">
        <f>SUM(O38:O44)</f>
        <v>0.35922318080000004</v>
      </c>
      <c r="P45" s="57" t="s">
        <v>112</v>
      </c>
      <c r="T45" s="6" t="s">
        <v>13</v>
      </c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7" s="6" customFormat="1" x14ac:dyDescent="0.3">
      <c r="A46" s="153" t="s">
        <v>2</v>
      </c>
      <c r="B46" s="25"/>
      <c r="C46" s="25"/>
      <c r="D46" s="25"/>
      <c r="E46" s="26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T46" s="6" t="s">
        <v>98</v>
      </c>
    </row>
    <row r="47" spans="1:37" s="6" customFormat="1" ht="12.6" thickBot="1" x14ac:dyDescent="0.3">
      <c r="B47" s="6" t="s">
        <v>7</v>
      </c>
      <c r="E47" s="240">
        <v>0.6</v>
      </c>
      <c r="F47" s="14" t="s">
        <v>57</v>
      </c>
      <c r="G47" s="6" t="s">
        <v>13</v>
      </c>
      <c r="I47" s="6" t="s">
        <v>13</v>
      </c>
      <c r="T47" s="6" t="s">
        <v>99</v>
      </c>
    </row>
    <row r="48" spans="1:37" s="6" customFormat="1" ht="15" thickTop="1" x14ac:dyDescent="0.3">
      <c r="B48" s="6" t="s">
        <v>8</v>
      </c>
      <c r="E48" s="231">
        <v>0.04</v>
      </c>
      <c r="F48" s="14" t="s">
        <v>58</v>
      </c>
      <c r="G48" s="6" t="s">
        <v>13</v>
      </c>
      <c r="L48" s="6" t="s">
        <v>13</v>
      </c>
      <c r="T48" s="99" t="s">
        <v>116</v>
      </c>
      <c r="U48" s="94"/>
      <c r="V48" s="77"/>
      <c r="W48" s="70" t="s">
        <v>110</v>
      </c>
      <c r="X48" s="57"/>
      <c r="Y48" s="57"/>
      <c r="Z48" s="57"/>
      <c r="AA48" s="57"/>
      <c r="AB48" s="57"/>
      <c r="AC48" s="57"/>
      <c r="AD48" s="57"/>
      <c r="AE48" s="58"/>
      <c r="AF48" s="70" t="s">
        <v>109</v>
      </c>
      <c r="AG48" s="57"/>
      <c r="AH48" s="57"/>
      <c r="AI48" s="58"/>
      <c r="AJ48" s="56"/>
      <c r="AK48" s="100" t="s">
        <v>146</v>
      </c>
    </row>
    <row r="49" spans="1:37" s="6" customFormat="1" x14ac:dyDescent="0.3">
      <c r="B49" s="6" t="s">
        <v>123</v>
      </c>
      <c r="E49" s="231" t="s">
        <v>59</v>
      </c>
      <c r="G49" s="148" t="str">
        <f>IF(E49="nee", "  ","totale lengte :")</f>
        <v xml:space="preserve">  </v>
      </c>
      <c r="H49" s="149"/>
      <c r="I49" s="241">
        <v>0</v>
      </c>
      <c r="J49" s="150" t="str">
        <f>IF(E49="nee"," ","mm")</f>
        <v xml:space="preserve"> </v>
      </c>
      <c r="T49" s="98" t="s">
        <v>117</v>
      </c>
      <c r="U49" s="7"/>
      <c r="V49" s="60"/>
      <c r="W49" s="59" t="s">
        <v>89</v>
      </c>
      <c r="X49" s="7"/>
      <c r="Y49" s="7"/>
      <c r="Z49" s="47"/>
      <c r="AA49" s="7" t="s">
        <v>70</v>
      </c>
      <c r="AB49" s="7"/>
      <c r="AC49" s="7"/>
      <c r="AD49" s="7"/>
      <c r="AE49" s="60"/>
      <c r="AF49" s="59" t="s">
        <v>89</v>
      </c>
      <c r="AG49" s="47"/>
      <c r="AH49" s="7" t="s">
        <v>70</v>
      </c>
      <c r="AI49" s="60"/>
      <c r="AJ49" s="63"/>
      <c r="AK49" s="75" t="str">
        <f>E20</f>
        <v>tricoya</v>
      </c>
    </row>
    <row r="50" spans="1:37" s="6" customFormat="1" ht="15" thickBot="1" x14ac:dyDescent="0.35">
      <c r="I50" s="10"/>
      <c r="T50" s="113" t="s">
        <v>11</v>
      </c>
      <c r="U50" s="96"/>
      <c r="V50" s="97"/>
      <c r="W50" s="61">
        <v>39</v>
      </c>
      <c r="X50" s="18">
        <v>54</v>
      </c>
      <c r="Y50" s="18">
        <v>67</v>
      </c>
      <c r="Z50" s="49">
        <v>82</v>
      </c>
      <c r="AA50" s="18">
        <v>39</v>
      </c>
      <c r="AB50" s="18">
        <v>54</v>
      </c>
      <c r="AC50" s="18">
        <v>67</v>
      </c>
      <c r="AD50" s="10">
        <v>82</v>
      </c>
      <c r="AE50" s="62"/>
      <c r="AF50" s="76">
        <f>E19</f>
        <v>39</v>
      </c>
      <c r="AG50" s="83"/>
      <c r="AH50" s="84">
        <f>E19</f>
        <v>39</v>
      </c>
      <c r="AI50" s="62"/>
      <c r="AJ50" s="63"/>
      <c r="AK50" s="72">
        <f>AF50</f>
        <v>39</v>
      </c>
    </row>
    <row r="51" spans="1:37" ht="15" thickBot="1" x14ac:dyDescent="0.35">
      <c r="A51" s="3" t="s">
        <v>12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5"/>
      <c r="Q51" s="22"/>
      <c r="T51" s="114" t="s">
        <v>82</v>
      </c>
      <c r="U51" s="43" t="s">
        <v>13</v>
      </c>
      <c r="V51" s="90"/>
      <c r="W51" s="119">
        <v>2.113</v>
      </c>
      <c r="X51" s="120">
        <v>1.64</v>
      </c>
      <c r="Y51" s="120" t="s">
        <v>111</v>
      </c>
      <c r="Z51" s="203" t="s">
        <v>111</v>
      </c>
      <c r="AA51" s="120">
        <v>1.8919999999999999</v>
      </c>
      <c r="AB51" s="120">
        <v>1.504</v>
      </c>
      <c r="AC51" s="120" t="s">
        <v>111</v>
      </c>
      <c r="AD51" s="120" t="s">
        <v>111</v>
      </c>
      <c r="AE51" s="62"/>
      <c r="AF51" s="123">
        <f>IF(AF50=39,W51,IF(AF50=54,X51,IF(AF50=67,Y51,IF(AF50=82,Z51))))</f>
        <v>2.113</v>
      </c>
      <c r="AG51" s="19"/>
      <c r="AH51" s="141">
        <f>IF(AH50=39,AA51,IF(AH50=54,AB51,IF(AH50=67,AC51,IF(AF50=82,AD51))))</f>
        <v>1.8919999999999999</v>
      </c>
      <c r="AI51" s="77"/>
      <c r="AJ51" s="65"/>
      <c r="AK51" s="143">
        <f>IF(AK49="susplex",AF51,IF(AK49="tricoya",AH51))</f>
        <v>1.8919999999999999</v>
      </c>
    </row>
    <row r="52" spans="1:37" s="6" customFormat="1" ht="15" customHeight="1" x14ac:dyDescent="0.3">
      <c r="A52" s="156" t="s">
        <v>128</v>
      </c>
      <c r="B52" s="9"/>
      <c r="C52" s="9"/>
      <c r="D52" s="9"/>
      <c r="E52" s="15" t="s">
        <v>62</v>
      </c>
      <c r="G52" s="9" t="s">
        <v>13</v>
      </c>
      <c r="H52" s="9"/>
      <c r="I52" s="15" t="s">
        <v>61</v>
      </c>
      <c r="J52" s="9"/>
      <c r="K52" s="9" t="s">
        <v>13</v>
      </c>
      <c r="L52" s="16" t="s">
        <v>60</v>
      </c>
      <c r="O52" s="16" t="s">
        <v>25</v>
      </c>
      <c r="P52" s="14" t="s">
        <v>115</v>
      </c>
      <c r="T52" s="54" t="s">
        <v>167</v>
      </c>
      <c r="U52" s="44" t="s">
        <v>13</v>
      </c>
      <c r="V52" s="60"/>
      <c r="W52" s="121">
        <v>1.085</v>
      </c>
      <c r="X52" s="122">
        <v>0.74099999999999999</v>
      </c>
      <c r="Y52" s="122">
        <v>0.58099999999999996</v>
      </c>
      <c r="Z52" s="204">
        <v>0.46500000000000002</v>
      </c>
      <c r="AA52" s="122">
        <v>1.024</v>
      </c>
      <c r="AB52" s="122">
        <v>0.71499999999999997</v>
      </c>
      <c r="AC52" s="122">
        <v>0.56299999999999994</v>
      </c>
      <c r="AD52" s="205">
        <v>0.45300000000000001</v>
      </c>
      <c r="AE52" s="62"/>
      <c r="AF52" s="125">
        <f>IF(AF50=39,W52,IF(AF50=54,X52,IF(AF50=67,Y52,IF(AF50=82,Z52))))</f>
        <v>1.085</v>
      </c>
      <c r="AG52" s="20"/>
      <c r="AH52" s="142">
        <f>IF(AH50=39,AA52,IF(AH50=54,AB52,IF(AH50=67,AC52,IF(AF50=82,AD52))))</f>
        <v>1.024</v>
      </c>
      <c r="AI52" s="62"/>
      <c r="AJ52" s="63"/>
      <c r="AK52" s="144">
        <f>IF(AK49="susplex",AF52,IF(AK49="tricoya",AH52))</f>
        <v>1.024</v>
      </c>
    </row>
    <row r="53" spans="1:37" s="6" customFormat="1" ht="15" customHeight="1" x14ac:dyDescent="0.3">
      <c r="B53" s="6" t="s">
        <v>14</v>
      </c>
      <c r="E53" s="244">
        <f>IF(E26="nee",E29,I26)</f>
        <v>76</v>
      </c>
      <c r="F53" s="14" t="s">
        <v>23</v>
      </c>
      <c r="G53" s="6" t="s">
        <v>13</v>
      </c>
      <c r="I53" s="245">
        <f>E53*E18/1000000</f>
        <v>0.17594000000000001</v>
      </c>
      <c r="L53" s="242">
        <f>AK58</f>
        <v>1.954</v>
      </c>
      <c r="M53" s="6" t="s">
        <v>13</v>
      </c>
      <c r="O53" s="245">
        <f>I53*L53</f>
        <v>0.34378676000000002</v>
      </c>
      <c r="R53" s="6" t="s">
        <v>13</v>
      </c>
      <c r="T53" s="54" t="s">
        <v>43</v>
      </c>
      <c r="U53" s="44" t="s">
        <v>13</v>
      </c>
      <c r="V53" s="60"/>
      <c r="W53" s="121">
        <v>1.381</v>
      </c>
      <c r="X53" s="122">
        <v>0.97599999999999998</v>
      </c>
      <c r="Y53" s="122">
        <v>0.77900000000000003</v>
      </c>
      <c r="Z53" s="204">
        <v>0.63100000000000001</v>
      </c>
      <c r="AA53" s="122">
        <v>1.2829999999999999</v>
      </c>
      <c r="AB53" s="122">
        <v>0.92600000000000005</v>
      </c>
      <c r="AC53" s="122">
        <v>0.747</v>
      </c>
      <c r="AD53" s="205">
        <v>0.61</v>
      </c>
      <c r="AE53" s="62"/>
      <c r="AF53" s="125">
        <f>IF(AF50=39,W53,IF(AF50=54,X53,IF(AF50=67,Y53,IF(AF50=82,Z53))))</f>
        <v>1.381</v>
      </c>
      <c r="AG53" s="20"/>
      <c r="AH53" s="142">
        <f>IF(AH50=39,AA53,IF(AH50=54,AB53,IF(AH50=67,AC53,IF(AF50=82,AD53))))</f>
        <v>1.2829999999999999</v>
      </c>
      <c r="AI53" s="62"/>
      <c r="AJ53" s="63"/>
      <c r="AK53" s="144">
        <f>IF(AK49="susplex",AF53,IF(AK49="tricoya",AH53))</f>
        <v>1.2829999999999999</v>
      </c>
    </row>
    <row r="54" spans="1:37" s="6" customFormat="1" ht="15" customHeight="1" x14ac:dyDescent="0.45">
      <c r="B54" s="6" t="s">
        <v>16</v>
      </c>
      <c r="E54" s="244">
        <f>E30</f>
        <v>76</v>
      </c>
      <c r="F54" s="14" t="s">
        <v>23</v>
      </c>
      <c r="G54" s="6" t="s">
        <v>13</v>
      </c>
      <c r="I54" s="245">
        <f>E54*(E17-E53-E56)/1000000</f>
        <v>5.0160000000000003E-2</v>
      </c>
      <c r="L54" s="243">
        <f>AK59</f>
        <v>2.0139999999999998</v>
      </c>
      <c r="M54" s="6" t="s">
        <v>13</v>
      </c>
      <c r="O54" s="245">
        <f t="shared" ref="O54:O59" si="4">I54*L54</f>
        <v>0.10102224</v>
      </c>
      <c r="R54" s="23" t="s">
        <v>13</v>
      </c>
      <c r="T54" s="54"/>
      <c r="U54" s="9"/>
      <c r="V54" s="60"/>
      <c r="W54" s="61"/>
      <c r="X54" s="18"/>
      <c r="Y54" s="7"/>
      <c r="Z54" s="7"/>
      <c r="AA54" s="48"/>
      <c r="AB54" s="18"/>
      <c r="AC54" s="7"/>
      <c r="AD54" s="210"/>
      <c r="AE54" s="62"/>
      <c r="AF54" s="61"/>
      <c r="AG54" s="7"/>
      <c r="AH54" s="48"/>
      <c r="AI54" s="62"/>
      <c r="AJ54" s="63"/>
      <c r="AK54" s="72"/>
    </row>
    <row r="55" spans="1:37" s="6" customFormat="1" ht="13.2" customHeight="1" x14ac:dyDescent="0.45">
      <c r="B55" s="6" t="s">
        <v>17</v>
      </c>
      <c r="E55" s="244">
        <f>E31</f>
        <v>76</v>
      </c>
      <c r="F55" s="14" t="s">
        <v>23</v>
      </c>
      <c r="G55" s="6" t="s">
        <v>13</v>
      </c>
      <c r="I55" s="245">
        <f>E55*(E17-E53-E56)/1000000</f>
        <v>5.0160000000000003E-2</v>
      </c>
      <c r="L55" s="243">
        <f>AK60</f>
        <v>2.0139999999999998</v>
      </c>
      <c r="M55" s="6" t="s">
        <v>13</v>
      </c>
      <c r="O55" s="245">
        <f t="shared" si="4"/>
        <v>0.10102224</v>
      </c>
      <c r="R55" s="23"/>
      <c r="T55" s="54"/>
      <c r="U55" s="9"/>
      <c r="V55" s="62"/>
      <c r="W55" s="63"/>
      <c r="X55" s="9"/>
      <c r="Y55" s="9"/>
      <c r="Z55" s="9"/>
      <c r="AA55" s="53"/>
      <c r="AB55" s="9"/>
      <c r="AC55" s="9"/>
      <c r="AD55" s="210"/>
      <c r="AE55" s="62"/>
      <c r="AF55" s="63"/>
      <c r="AG55" s="9"/>
      <c r="AH55" s="53"/>
      <c r="AI55" s="62"/>
      <c r="AJ55" s="63"/>
      <c r="AK55" s="72"/>
    </row>
    <row r="56" spans="1:37" s="6" customFormat="1" ht="13.2" customHeight="1" x14ac:dyDescent="0.3">
      <c r="B56" s="6" t="s">
        <v>15</v>
      </c>
      <c r="E56" s="244">
        <f>E32</f>
        <v>164</v>
      </c>
      <c r="F56" s="14" t="s">
        <v>23</v>
      </c>
      <c r="G56" s="6" t="s">
        <v>13</v>
      </c>
      <c r="I56" s="245">
        <f>E56*E18/1000000</f>
        <v>0.37966</v>
      </c>
      <c r="L56" s="242">
        <f>IF(E24="geen",AK61,IF(E24="B30",AK62,IF(E24="B60",AK63)))</f>
        <v>2.1320000000000001</v>
      </c>
      <c r="M56" s="55" t="str">
        <f>IF(L56="na","niet in BW-uitv.", " ")</f>
        <v xml:space="preserve"> </v>
      </c>
      <c r="O56" s="245">
        <f t="shared" si="4"/>
        <v>0.80943512000000006</v>
      </c>
      <c r="T56" s="211" t="s">
        <v>151</v>
      </c>
      <c r="U56" s="212"/>
      <c r="V56" s="97"/>
      <c r="W56" s="59" t="s">
        <v>89</v>
      </c>
      <c r="X56" s="7"/>
      <c r="Y56" s="7"/>
      <c r="Z56" s="7"/>
      <c r="AA56" s="46" t="s">
        <v>70</v>
      </c>
      <c r="AB56" s="7"/>
      <c r="AC56" s="7"/>
      <c r="AD56" s="210"/>
      <c r="AE56" s="62"/>
      <c r="AF56" s="59" t="s">
        <v>89</v>
      </c>
      <c r="AG56" s="7"/>
      <c r="AH56" s="46" t="s">
        <v>70</v>
      </c>
      <c r="AI56" s="62"/>
      <c r="AJ56" s="63"/>
      <c r="AK56" s="75" t="str">
        <f>E20</f>
        <v>tricoya</v>
      </c>
    </row>
    <row r="57" spans="1:37" s="6" customFormat="1" ht="15" customHeight="1" x14ac:dyDescent="0.3">
      <c r="B57" s="6" t="s">
        <v>20</v>
      </c>
      <c r="E57" s="244">
        <v>1</v>
      </c>
      <c r="F57" s="14" t="s">
        <v>24</v>
      </c>
      <c r="G57" s="6" t="s">
        <v>13</v>
      </c>
      <c r="I57" s="246">
        <f>(E17*E18)/1000000-I53-I55-I54-I56-I58-I59</f>
        <v>0.75408681919999987</v>
      </c>
      <c r="J57" s="9" t="s">
        <v>13</v>
      </c>
      <c r="K57" s="55" t="str">
        <f>IF(I57&lt;0.5,"FOUT", " ")</f>
        <v xml:space="preserve"> </v>
      </c>
      <c r="L57" s="243">
        <f>IF(E21="vuren",AK51,IF(E21="XPS",AK52,IF(E21="Kurk",AK53)))</f>
        <v>1.024</v>
      </c>
      <c r="M57" s="9" t="s">
        <v>13</v>
      </c>
      <c r="N57" s="9"/>
      <c r="O57" s="246">
        <f>I57*L57</f>
        <v>0.77218490286079988</v>
      </c>
      <c r="P57" s="9" t="s">
        <v>13</v>
      </c>
      <c r="T57" s="115"/>
      <c r="U57" s="40"/>
      <c r="V57" s="92"/>
      <c r="W57" s="213">
        <v>39</v>
      </c>
      <c r="X57" s="214">
        <v>54</v>
      </c>
      <c r="Y57" s="214">
        <v>67</v>
      </c>
      <c r="Z57" s="214">
        <v>82</v>
      </c>
      <c r="AA57" s="215">
        <v>39</v>
      </c>
      <c r="AB57" s="214">
        <v>54</v>
      </c>
      <c r="AC57" s="214">
        <v>67</v>
      </c>
      <c r="AD57" s="216">
        <v>82</v>
      </c>
      <c r="AE57" s="77"/>
      <c r="AF57" s="81">
        <f>E19</f>
        <v>39</v>
      </c>
      <c r="AG57" s="45"/>
      <c r="AH57" s="85">
        <f>E19</f>
        <v>39</v>
      </c>
      <c r="AI57" s="78"/>
      <c r="AJ57" s="79"/>
      <c r="AK57" s="82">
        <f>AF57</f>
        <v>39</v>
      </c>
    </row>
    <row r="58" spans="1:37" s="6" customFormat="1" ht="15" customHeight="1" x14ac:dyDescent="0.3">
      <c r="B58" s="6" t="s">
        <v>18</v>
      </c>
      <c r="E58" s="244">
        <f>SUM(E38:E44)</f>
        <v>4</v>
      </c>
      <c r="F58" s="14" t="s">
        <v>24</v>
      </c>
      <c r="G58" s="6" t="s">
        <v>13</v>
      </c>
      <c r="I58" s="245">
        <f>SUM(O38:O44)</f>
        <v>0.35922318080000004</v>
      </c>
      <c r="L58" s="242">
        <f>IF(AND(E35="T",E24="geen"),AK67,IF(AND(E35="T",E24="B30"),AK68,IF(AND(E35="T",E24="B60"),AK69,IF(E35="TX",AK70))))</f>
        <v>1.712</v>
      </c>
      <c r="M58" s="6" t="s">
        <v>13</v>
      </c>
      <c r="O58" s="245">
        <f t="shared" si="4"/>
        <v>0.61499008552960011</v>
      </c>
      <c r="T58" s="54" t="s">
        <v>84</v>
      </c>
      <c r="U58" s="9"/>
      <c r="V58" s="7"/>
      <c r="W58" s="121">
        <v>2.1909999999999998</v>
      </c>
      <c r="X58" s="127">
        <v>1.7969999999999999</v>
      </c>
      <c r="Y58" s="127">
        <v>1.5229999999999999</v>
      </c>
      <c r="Z58" s="127">
        <v>1.296</v>
      </c>
      <c r="AA58" s="128">
        <v>1.954</v>
      </c>
      <c r="AB58" s="127">
        <v>1.6339999999999999</v>
      </c>
      <c r="AC58" s="127">
        <v>1.405</v>
      </c>
      <c r="AD58" s="135">
        <v>1.2090000000000001</v>
      </c>
      <c r="AE58" s="62"/>
      <c r="AF58" s="123">
        <f>IF(AF57=39,W58,IF(AF57=54,X58,IF(AF57=67,Y58,IF(AF50=82,Z58))))</f>
        <v>2.1909999999999998</v>
      </c>
      <c r="AG58" s="112"/>
      <c r="AH58" s="124">
        <f>IF(AH57=39,AA58,IF(AH57=54,AB58,IF(AH57=67,AC58,IF(AF50=82,AD58))))</f>
        <v>1.954</v>
      </c>
      <c r="AI58" s="77"/>
      <c r="AJ58" s="91"/>
      <c r="AK58" s="143">
        <f>IF(AK56="susplex",AF58,IF(AK56="tricoya",AH58))</f>
        <v>1.954</v>
      </c>
    </row>
    <row r="59" spans="1:37" s="6" customFormat="1" ht="15" customHeight="1" thickBot="1" x14ac:dyDescent="0.35">
      <c r="B59" s="6" t="s">
        <v>19</v>
      </c>
      <c r="E59" s="244">
        <f>SUM(E38:E44)</f>
        <v>4</v>
      </c>
      <c r="F59" s="14" t="s">
        <v>24</v>
      </c>
      <c r="G59" s="6" t="s">
        <v>13</v>
      </c>
      <c r="I59" s="247">
        <f>SUM(K38:K44)</f>
        <v>0.31427000000000005</v>
      </c>
      <c r="J59" s="8" t="s">
        <v>106</v>
      </c>
      <c r="L59" s="248">
        <f>E47</f>
        <v>0.6</v>
      </c>
      <c r="M59" s="9" t="s">
        <v>13</v>
      </c>
      <c r="N59" s="9"/>
      <c r="O59" s="247">
        <f t="shared" si="4"/>
        <v>0.18856200000000004</v>
      </c>
      <c r="P59" s="8" t="s">
        <v>106</v>
      </c>
      <c r="T59" s="54" t="s">
        <v>85</v>
      </c>
      <c r="U59" s="9"/>
      <c r="V59" s="9"/>
      <c r="W59" s="129">
        <v>2.2669999999999999</v>
      </c>
      <c r="X59" s="127">
        <f>X58</f>
        <v>1.7969999999999999</v>
      </c>
      <c r="Y59" s="127">
        <f>Y58</f>
        <v>1.5229999999999999</v>
      </c>
      <c r="Z59" s="127">
        <v>1.296</v>
      </c>
      <c r="AA59" s="131">
        <v>2.0139999999999998</v>
      </c>
      <c r="AB59" s="127">
        <f>AB58</f>
        <v>1.6339999999999999</v>
      </c>
      <c r="AC59" s="127">
        <f>AC58</f>
        <v>1.405</v>
      </c>
      <c r="AD59" s="127">
        <v>1.2090000000000001</v>
      </c>
      <c r="AE59" s="62"/>
      <c r="AF59" s="126">
        <f>IF(AF57=39,W59,IF(AF57=54,X59,IF(AF57=67,Y59,IF(AF50=82,Z59))))</f>
        <v>2.2669999999999999</v>
      </c>
      <c r="AG59" s="51"/>
      <c r="AH59" s="126">
        <f>IF(AH57=39,AA59,IF(AH57=54,AB59,IF(AH57=67,AC59,IF(AF50=82,AD59))))</f>
        <v>2.0139999999999998</v>
      </c>
      <c r="AI59" s="62"/>
      <c r="AJ59" s="63"/>
      <c r="AK59" s="144">
        <f>IF(AK56="susplex",AF59,IF(AK56="tricoya",AH59))</f>
        <v>2.0139999999999998</v>
      </c>
    </row>
    <row r="60" spans="1:37" s="6" customFormat="1" ht="15" customHeight="1" thickTop="1" thickBot="1" x14ac:dyDescent="0.35">
      <c r="E60"/>
      <c r="F60"/>
      <c r="G60"/>
      <c r="H60"/>
      <c r="I60" s="36">
        <f>SUM(I53:I59)</f>
        <v>2.0834999999999999</v>
      </c>
      <c r="J60" s="14" t="s">
        <v>64</v>
      </c>
      <c r="K60"/>
      <c r="L60" s="11"/>
      <c r="M60"/>
      <c r="N60"/>
      <c r="O60" s="12">
        <f>SUM(O53:O59)</f>
        <v>2.9310033483904001</v>
      </c>
      <c r="T60" s="54" t="s">
        <v>86</v>
      </c>
      <c r="U60" s="9" t="s">
        <v>13</v>
      </c>
      <c r="V60" s="7"/>
      <c r="W60" s="121">
        <f>W59</f>
        <v>2.2669999999999999</v>
      </c>
      <c r="X60" s="122">
        <f>X59</f>
        <v>1.7969999999999999</v>
      </c>
      <c r="Y60" s="122">
        <v>1.5229999999999999</v>
      </c>
      <c r="Z60" s="122">
        <v>1.296</v>
      </c>
      <c r="AA60" s="132">
        <v>2.0139999999999998</v>
      </c>
      <c r="AB60" s="122">
        <f>AB59</f>
        <v>1.6339999999999999</v>
      </c>
      <c r="AC60" s="122">
        <v>1.405</v>
      </c>
      <c r="AD60" s="127">
        <v>1.2090000000000001</v>
      </c>
      <c r="AE60" s="62"/>
      <c r="AF60" s="126">
        <f>IF(AF57=39,W60,IF(AF57=54,X60,IF(AF57=67,Y60,IF(AF50=82,Z60))))</f>
        <v>2.2669999999999999</v>
      </c>
      <c r="AG60" s="50"/>
      <c r="AH60" s="126">
        <f>IF(AH57=39,AA60,IF(AH57=54,AB60,IF(AH57=67,AC60,IF(AF50=82,AD60))))</f>
        <v>2.0139999999999998</v>
      </c>
      <c r="AI60" s="62"/>
      <c r="AJ60" s="63"/>
      <c r="AK60" s="144">
        <f>IF(AK56="susplex",AF60,IF(AK56="tricoya",AH60))</f>
        <v>2.0139999999999998</v>
      </c>
    </row>
    <row r="61" spans="1:37" s="6" customFormat="1" ht="15" customHeight="1" thickBot="1" x14ac:dyDescent="0.35">
      <c r="E61" s="159" t="str">
        <f>IF(I57&lt;=0.5,"glasoppervlak te groot", " ")</f>
        <v xml:space="preserve"> </v>
      </c>
      <c r="F61" s="160"/>
      <c r="G61" s="161"/>
      <c r="I61" s="12"/>
      <c r="L61" s="159" t="str">
        <f>IF(L57="na","Variant bestaat niet", " ")</f>
        <v xml:space="preserve"> </v>
      </c>
      <c r="M61" s="160"/>
      <c r="N61" s="161"/>
      <c r="O61" s="10"/>
      <c r="T61" s="54" t="s">
        <v>83</v>
      </c>
      <c r="U61" s="9"/>
      <c r="V61" s="9"/>
      <c r="W61" s="133">
        <v>2.4260000000000002</v>
      </c>
      <c r="X61" s="130">
        <v>1.9730000000000001</v>
      </c>
      <c r="Y61" s="127">
        <f>Y58</f>
        <v>1.5229999999999999</v>
      </c>
      <c r="Z61" s="127">
        <v>1.296</v>
      </c>
      <c r="AA61" s="131">
        <v>2.1320000000000001</v>
      </c>
      <c r="AB61" s="130">
        <v>1.752</v>
      </c>
      <c r="AC61" s="127">
        <f>AC60</f>
        <v>1.405</v>
      </c>
      <c r="AD61" s="127">
        <v>1.2090000000000001</v>
      </c>
      <c r="AE61" s="110"/>
      <c r="AF61" s="126">
        <f>IF(AF57=39,W61,IF(AF57=54,X61,IF(AF57=67,Y61,IF(AF50=82,Z61))))</f>
        <v>2.4260000000000002</v>
      </c>
      <c r="AG61" s="50"/>
      <c r="AH61" s="126">
        <f>IF(AH57=39,AA61,IF(AH57=54,AB61,IF(AH57=67,AC61,IF(AF50=82,AD61))))</f>
        <v>2.1320000000000001</v>
      </c>
      <c r="AI61" s="62"/>
      <c r="AJ61" s="63"/>
      <c r="AK61" s="144">
        <f>IF(AK56="susplex",AF61,IF(AK56="tricoya",AH61))</f>
        <v>2.1320000000000001</v>
      </c>
    </row>
    <row r="62" spans="1:37" s="6" customFormat="1" x14ac:dyDescent="0.3">
      <c r="A62" s="157" t="s">
        <v>129</v>
      </c>
      <c r="E62"/>
      <c r="I62" s="12" t="s">
        <v>113</v>
      </c>
      <c r="L62" s="21" t="s">
        <v>68</v>
      </c>
      <c r="O62" s="10" t="s">
        <v>114</v>
      </c>
      <c r="P62" s="14" t="s">
        <v>115</v>
      </c>
      <c r="T62" s="54" t="s">
        <v>103</v>
      </c>
      <c r="U62" s="9" t="s">
        <v>13</v>
      </c>
      <c r="V62" s="7"/>
      <c r="W62" s="121">
        <v>2.4369999999999998</v>
      </c>
      <c r="X62" s="122">
        <v>1.9730000000000001</v>
      </c>
      <c r="Y62" s="122">
        <v>1.5229999999999999</v>
      </c>
      <c r="Z62" s="122" t="s">
        <v>111</v>
      </c>
      <c r="AA62" s="132">
        <v>2.14</v>
      </c>
      <c r="AB62" s="122">
        <v>1.752</v>
      </c>
      <c r="AC62" s="122">
        <v>1.405</v>
      </c>
      <c r="AD62" s="127" t="s">
        <v>111</v>
      </c>
      <c r="AE62" s="62"/>
      <c r="AF62" s="126">
        <f>IF(AF57=39,W62,IF(AF57=54,X62,IF(AF57=67,Y62,IF(AF50=82,Z62))))</f>
        <v>2.4369999999999998</v>
      </c>
      <c r="AG62" s="50"/>
      <c r="AH62" s="126">
        <f>IF(AH57=39,AA62,IF(AH57=54,AB62,IF(AH57=67,AC62,IF(AF50=82,AD62))))</f>
        <v>2.14</v>
      </c>
      <c r="AI62" s="62"/>
      <c r="AJ62" s="63"/>
      <c r="AK62" s="144">
        <f>IF(AK56="susplex",AF62,IF(AK56="tricoya",AH62))</f>
        <v>2.14</v>
      </c>
    </row>
    <row r="63" spans="1:37" s="6" customFormat="1" x14ac:dyDescent="0.3">
      <c r="B63" s="6" t="s">
        <v>21</v>
      </c>
      <c r="E63" t="s">
        <v>13</v>
      </c>
      <c r="F63" s="6" t="s">
        <v>13</v>
      </c>
      <c r="I63" s="245">
        <f>L45</f>
        <v>3.7712399999999997</v>
      </c>
      <c r="J63" s="14" t="s">
        <v>13</v>
      </c>
      <c r="L63" s="244">
        <f>E48</f>
        <v>0.04</v>
      </c>
      <c r="M63" s="14" t="s">
        <v>13</v>
      </c>
      <c r="O63" s="245">
        <f t="shared" ref="O63:O64" si="5">I63*L63</f>
        <v>0.1508496</v>
      </c>
      <c r="T63" s="54" t="s">
        <v>104</v>
      </c>
      <c r="U63" s="9" t="s">
        <v>13</v>
      </c>
      <c r="V63" s="60"/>
      <c r="W63" s="121" t="s">
        <v>111</v>
      </c>
      <c r="X63" s="122">
        <v>1.9730000000000001</v>
      </c>
      <c r="Y63" s="122">
        <v>1.5229999999999999</v>
      </c>
      <c r="Z63" s="122" t="s">
        <v>111</v>
      </c>
      <c r="AA63" s="132" t="s">
        <v>111</v>
      </c>
      <c r="AB63" s="122" t="s">
        <v>111</v>
      </c>
      <c r="AC63" s="122" t="s">
        <v>111</v>
      </c>
      <c r="AD63" s="127" t="s">
        <v>111</v>
      </c>
      <c r="AE63" s="62"/>
      <c r="AF63" s="125" t="str">
        <f>IF(AF57=39,W63,IF(AF57=54,X63,IF(AF57=67,Y63,IF(AF50=82,Z63))))</f>
        <v>na</v>
      </c>
      <c r="AG63" s="20"/>
      <c r="AH63" s="142" t="str">
        <f>IF(AH57=39,AA63,IF(AH57=54,AB63,IF(AH57=67,AC63,IF(AF50=82,AD63))))</f>
        <v>na</v>
      </c>
      <c r="AI63" s="62"/>
      <c r="AJ63" s="63"/>
      <c r="AK63" s="144" t="str">
        <f>IF(AK56="susplex",AF63,IF(AK56="tricoya",AH63))</f>
        <v>na</v>
      </c>
    </row>
    <row r="64" spans="1:37" s="6" customFormat="1" ht="15" thickBot="1" x14ac:dyDescent="0.35">
      <c r="B64" s="6" t="s">
        <v>67</v>
      </c>
      <c r="E64"/>
      <c r="I64" s="245">
        <f>IF(E49="ja",I49/1000,0)</f>
        <v>0</v>
      </c>
      <c r="J64" s="14" t="s">
        <v>13</v>
      </c>
      <c r="L64" s="244">
        <f>E48</f>
        <v>0.04</v>
      </c>
      <c r="M64" s="14"/>
      <c r="O64" s="247">
        <f t="shared" si="5"/>
        <v>0</v>
      </c>
      <c r="P64" s="8" t="s">
        <v>66</v>
      </c>
      <c r="T64" s="54"/>
      <c r="U64" s="9"/>
      <c r="V64" s="60"/>
      <c r="W64" s="59"/>
      <c r="X64" s="7"/>
      <c r="Y64" s="7"/>
      <c r="Z64" s="7"/>
      <c r="AA64" s="46"/>
      <c r="AB64" s="7"/>
      <c r="AC64" s="7"/>
      <c r="AD64" s="15"/>
      <c r="AE64" s="62"/>
      <c r="AF64" s="59"/>
      <c r="AG64" s="7"/>
      <c r="AH64" s="46"/>
      <c r="AI64" s="62"/>
      <c r="AJ64" s="63"/>
      <c r="AK64" s="72"/>
    </row>
    <row r="65" spans="1:37" s="6" customFormat="1" ht="15" thickTop="1" x14ac:dyDescent="0.3">
      <c r="E65" s="10"/>
      <c r="I65" s="12"/>
      <c r="L65" s="10"/>
      <c r="O65" s="12">
        <f>SUM(O63:O64)</f>
        <v>0.1508496</v>
      </c>
      <c r="T65" s="113" t="s">
        <v>152</v>
      </c>
      <c r="U65" s="96"/>
      <c r="V65" s="97"/>
      <c r="W65" s="66" t="s">
        <v>89</v>
      </c>
      <c r="X65" s="40"/>
      <c r="Y65" s="40"/>
      <c r="Z65" s="40"/>
      <c r="AA65" s="52" t="s">
        <v>70</v>
      </c>
      <c r="AB65" s="40"/>
      <c r="AC65" s="40"/>
      <c r="AD65" s="42"/>
      <c r="AE65" s="78"/>
      <c r="AF65" s="59" t="s">
        <v>89</v>
      </c>
      <c r="AG65" s="7"/>
      <c r="AH65" s="46" t="s">
        <v>70</v>
      </c>
      <c r="AI65" s="62"/>
      <c r="AJ65" s="63"/>
      <c r="AK65" s="75" t="str">
        <f>E20</f>
        <v>tricoya</v>
      </c>
    </row>
    <row r="66" spans="1:37" s="6" customFormat="1" ht="9" customHeight="1" thickBot="1" x14ac:dyDescent="0.35">
      <c r="E66" s="10"/>
      <c r="I66" s="12"/>
      <c r="L66" s="10"/>
      <c r="O66" s="105"/>
      <c r="P66" s="8" t="s">
        <v>66</v>
      </c>
      <c r="T66" s="54" t="s">
        <v>42</v>
      </c>
      <c r="U66" s="9" t="s">
        <v>37</v>
      </c>
      <c r="V66" s="62"/>
      <c r="W66" s="64">
        <v>39</v>
      </c>
      <c r="X66" s="15">
        <v>54</v>
      </c>
      <c r="Y66" s="15">
        <v>67</v>
      </c>
      <c r="Z66" s="15">
        <v>82</v>
      </c>
      <c r="AA66" s="111">
        <v>39</v>
      </c>
      <c r="AB66" s="15">
        <v>54</v>
      </c>
      <c r="AC66" s="15">
        <v>67</v>
      </c>
      <c r="AD66" s="42">
        <v>82</v>
      </c>
      <c r="AE66" s="60"/>
      <c r="AF66" s="81">
        <f>E19</f>
        <v>39</v>
      </c>
      <c r="AG66" s="86"/>
      <c r="AH66" s="85">
        <f>E19</f>
        <v>39</v>
      </c>
      <c r="AI66" s="87"/>
      <c r="AJ66" s="88"/>
      <c r="AK66" s="89">
        <f>AF66</f>
        <v>39</v>
      </c>
    </row>
    <row r="67" spans="1:37" s="6" customFormat="1" ht="15.6" thickTop="1" thickBot="1" x14ac:dyDescent="0.35">
      <c r="E67" s="10"/>
      <c r="I67" s="12"/>
      <c r="L67" s="106" t="s">
        <v>118</v>
      </c>
      <c r="O67" s="107">
        <f>O60+O65</f>
        <v>3.0818529483904</v>
      </c>
      <c r="P67" s="14" t="s">
        <v>115</v>
      </c>
      <c r="T67" s="116" t="s">
        <v>38</v>
      </c>
      <c r="U67" s="41">
        <v>46</v>
      </c>
      <c r="V67" s="95">
        <v>55</v>
      </c>
      <c r="W67" s="134">
        <v>1.768</v>
      </c>
      <c r="X67" s="135">
        <v>1.46</v>
      </c>
      <c r="Y67" s="120">
        <v>1.2809999999999999</v>
      </c>
      <c r="Z67" s="120">
        <v>1.21</v>
      </c>
      <c r="AA67" s="206">
        <v>1.623</v>
      </c>
      <c r="AB67" s="135">
        <v>1.423</v>
      </c>
      <c r="AC67" s="120">
        <v>1.252</v>
      </c>
      <c r="AD67" s="205">
        <v>1.1879999999999999</v>
      </c>
      <c r="AE67" s="60"/>
      <c r="AF67" s="123">
        <f>IF(AF66=39,W67,IF(AF66=54,X67,IF(AF66=67,Y67,IF(AF50=82,Z67))))</f>
        <v>1.768</v>
      </c>
      <c r="AG67" s="17"/>
      <c r="AH67" s="141">
        <f>IF(AH66=39,AA67,IF(AH66=54,AB67,IF(AH66=67,AC67,IF(AF50=82,AD67))))</f>
        <v>1.623</v>
      </c>
      <c r="AI67" s="90"/>
      <c r="AJ67" s="91"/>
      <c r="AK67" s="143">
        <f>IF(AK65="susplex",AF67,IF(AK65="tricoya",AH67))</f>
        <v>1.623</v>
      </c>
    </row>
    <row r="68" spans="1:37" ht="15" thickBot="1" x14ac:dyDescent="0.35">
      <c r="A68" s="3" t="s">
        <v>127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5"/>
      <c r="Q68" s="22"/>
      <c r="T68" s="117" t="s">
        <v>39</v>
      </c>
      <c r="U68" s="15">
        <v>46</v>
      </c>
      <c r="V68" s="72">
        <v>55</v>
      </c>
      <c r="W68" s="136">
        <v>1.768</v>
      </c>
      <c r="X68" s="127">
        <v>1.46</v>
      </c>
      <c r="Y68" s="122">
        <v>1.2809999999999999</v>
      </c>
      <c r="Z68" s="122" t="s">
        <v>111</v>
      </c>
      <c r="AA68" s="207">
        <v>1.623</v>
      </c>
      <c r="AB68" s="127">
        <v>1.423</v>
      </c>
      <c r="AC68" s="122">
        <v>1.252</v>
      </c>
      <c r="AD68" s="209" t="s">
        <v>111</v>
      </c>
      <c r="AE68" s="60"/>
      <c r="AF68" s="125">
        <f>IF(AF66=39,W68,IF(AF66=54,X68,IF(AF66=67,Y68,IF(AF50=82,Z68))))</f>
        <v>1.768</v>
      </c>
      <c r="AG68" s="7"/>
      <c r="AH68" s="142">
        <f>IF(AH66=39,AA68,IF(AH66=54,AB68,IF(AH66=67,AC68,IF(AF50=82,AD68))))</f>
        <v>1.623</v>
      </c>
      <c r="AI68" s="60"/>
      <c r="AJ68" s="59"/>
      <c r="AK68" s="144">
        <f>IF(AK65="susplex",AF68,IF(AK65="tricoya",AH68))</f>
        <v>1.623</v>
      </c>
    </row>
    <row r="69" spans="1:37" ht="10.8" customHeight="1" x14ac:dyDescent="0.3">
      <c r="T69" s="118" t="s">
        <v>40</v>
      </c>
      <c r="U69" s="42">
        <v>46</v>
      </c>
      <c r="V69" s="80">
        <v>55</v>
      </c>
      <c r="W69" s="137" t="s">
        <v>111</v>
      </c>
      <c r="X69" s="138">
        <v>1.46</v>
      </c>
      <c r="Y69" s="139">
        <v>1.2809999999999999</v>
      </c>
      <c r="Z69" s="139" t="s">
        <v>111</v>
      </c>
      <c r="AA69" s="140" t="s">
        <v>111</v>
      </c>
      <c r="AB69" s="138">
        <v>1.423</v>
      </c>
      <c r="AC69" s="139">
        <v>1.252</v>
      </c>
      <c r="AD69" s="209" t="s">
        <v>111</v>
      </c>
      <c r="AE69" s="60"/>
      <c r="AF69" s="125" t="str">
        <f>IF(AF66=39,W69,IF(AF66=54,X69,IF(AF66=67,Y69,IF(AF50=82,Z69))))</f>
        <v>na</v>
      </c>
      <c r="AG69" s="7"/>
      <c r="AH69" s="142" t="str">
        <f>IF(AH66=39,AA69,IF(AH66=54,AB69,IF(AH66=67,AC69,IF(AF50=82,AD69))))</f>
        <v>na</v>
      </c>
      <c r="AI69" s="92"/>
      <c r="AJ69" s="66"/>
      <c r="AK69" s="200" t="str">
        <f>IF(AK65="susplex",AF69,IF(AK65="tricoya",AH69))</f>
        <v>na</v>
      </c>
    </row>
    <row r="70" spans="1:37" ht="15.6" x14ac:dyDescent="0.3">
      <c r="B70" s="2" t="s">
        <v>22</v>
      </c>
      <c r="C70" s="154">
        <f>(O60+O65)/C71</f>
        <v>1.4791710815408687</v>
      </c>
      <c r="D70" s="155" t="s">
        <v>65</v>
      </c>
      <c r="E70" s="2"/>
      <c r="T70" s="117" t="s">
        <v>41</v>
      </c>
      <c r="U70" s="15">
        <v>55</v>
      </c>
      <c r="V70" s="72">
        <v>55</v>
      </c>
      <c r="W70" s="136">
        <v>1.877</v>
      </c>
      <c r="X70" s="127">
        <v>1.554</v>
      </c>
      <c r="Y70" s="122">
        <v>1.327</v>
      </c>
      <c r="Z70" s="204">
        <v>1.2250000000000001</v>
      </c>
      <c r="AA70" s="208">
        <v>1.712</v>
      </c>
      <c r="AB70" s="127">
        <v>1.504</v>
      </c>
      <c r="AC70" s="122">
        <v>1.2909999999999999</v>
      </c>
      <c r="AD70" s="120">
        <v>1.1970000000000001</v>
      </c>
      <c r="AE70" s="60"/>
      <c r="AF70" s="123">
        <f>IF(AF66=39,W70,IF(AF66=54,X70,IF(AF66=67,Y70,IF(AF50=82,Z70))))</f>
        <v>1.877</v>
      </c>
      <c r="AG70" s="17"/>
      <c r="AH70" s="141">
        <f>IF(AH66=39,AA70,IF(AH66=54,AB70,IF(AH66=67,AC70,IF(AF50=82,AD70))))</f>
        <v>1.712</v>
      </c>
      <c r="AI70" s="60"/>
      <c r="AJ70" s="59"/>
      <c r="AK70" s="144">
        <f>IF(AK65="susplex",AF70,IF(AK65="tricoya",AH70))</f>
        <v>1.712</v>
      </c>
    </row>
    <row r="71" spans="1:37" ht="15" customHeight="1" x14ac:dyDescent="0.3">
      <c r="B71" s="2" t="s">
        <v>63</v>
      </c>
      <c r="C71" s="154">
        <f>E17*E18/1000000</f>
        <v>2.0834999999999999</v>
      </c>
      <c r="D71" s="155" t="s">
        <v>64</v>
      </c>
      <c r="E71" s="2"/>
      <c r="T71" s="46"/>
      <c r="U71" s="7"/>
      <c r="V71" s="60"/>
      <c r="W71" s="59"/>
      <c r="X71" s="7"/>
      <c r="Y71" s="7"/>
      <c r="Z71" s="7"/>
      <c r="AA71" s="7"/>
      <c r="AB71" s="7"/>
      <c r="AC71" s="7"/>
      <c r="AE71" s="60"/>
      <c r="AF71" s="59"/>
      <c r="AG71" s="7"/>
      <c r="AH71" s="7"/>
      <c r="AI71" s="60"/>
      <c r="AJ71" s="59"/>
      <c r="AK71" s="73" t="s">
        <v>13</v>
      </c>
    </row>
    <row r="72" spans="1:37" ht="9" customHeight="1" thickBot="1" x14ac:dyDescent="0.35">
      <c r="T72" s="52"/>
      <c r="U72" s="40"/>
      <c r="V72" s="92"/>
      <c r="W72" s="67"/>
      <c r="X72" s="68"/>
      <c r="Y72" s="68"/>
      <c r="Z72" s="68"/>
      <c r="AA72" s="68"/>
      <c r="AB72" s="68"/>
      <c r="AC72" s="68"/>
      <c r="AD72" s="68"/>
      <c r="AE72" s="69"/>
      <c r="AF72" s="67"/>
      <c r="AG72" s="68"/>
      <c r="AH72" s="68"/>
      <c r="AI72" s="69"/>
      <c r="AJ72" s="67"/>
      <c r="AK72" s="74"/>
    </row>
    <row r="73" spans="1:37" ht="15.6" thickTop="1" thickBot="1" x14ac:dyDescent="0.35">
      <c r="A73" s="3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5"/>
      <c r="T73" s="46" t="s">
        <v>38</v>
      </c>
      <c r="U73" s="7"/>
      <c r="V73" s="7"/>
      <c r="W73" s="108">
        <v>55</v>
      </c>
      <c r="X73" s="109">
        <v>46</v>
      </c>
      <c r="Y73" s="109">
        <v>55</v>
      </c>
      <c r="Z73" s="109">
        <v>50</v>
      </c>
      <c r="AA73" s="109"/>
      <c r="AB73" s="109"/>
      <c r="AC73" s="109"/>
      <c r="AD73" s="109"/>
      <c r="AE73" s="109"/>
      <c r="AF73" s="221">
        <f>IF(AF66=39,W73,IF(AF66=54,X73,IF(AF66=67,Y73,IF(AF66=82,Z73))))</f>
        <v>55</v>
      </c>
      <c r="AG73" s="217"/>
      <c r="AH73" s="217" t="s">
        <v>157</v>
      </c>
      <c r="AI73" s="217" t="s">
        <v>13</v>
      </c>
      <c r="AJ73" s="225" t="str">
        <f>E35</f>
        <v>TX</v>
      </c>
      <c r="AK73" s="224">
        <f>IF(AJ73="T",AF73,IF(AJ73="TB",AF74,IF(AJ73="TBP",AF75,IF(AJ73="TX",AF76))))</f>
        <v>76</v>
      </c>
    </row>
    <row r="74" spans="1:37" x14ac:dyDescent="0.3">
      <c r="T74" s="46" t="s">
        <v>39</v>
      </c>
      <c r="U74" s="7"/>
      <c r="V74" s="7"/>
      <c r="W74" s="61">
        <v>55</v>
      </c>
      <c r="X74" s="18">
        <v>46</v>
      </c>
      <c r="Y74" s="18">
        <v>55</v>
      </c>
      <c r="Z74" s="18" t="s">
        <v>111</v>
      </c>
      <c r="AA74" s="18"/>
      <c r="AB74" s="220" t="s">
        <v>156</v>
      </c>
      <c r="AC74" s="18"/>
      <c r="AD74" s="18"/>
      <c r="AE74" s="18"/>
      <c r="AF74" s="222">
        <f>IF(AF66=39,W74,IF(AF66=54,X74,IF(AF66=67,Y74,IF(AF66=82,Z74))))</f>
        <v>55</v>
      </c>
      <c r="AG74" s="7"/>
      <c r="AH74" s="7"/>
      <c r="AI74" s="7"/>
      <c r="AJ74" s="7"/>
      <c r="AK74" s="60"/>
    </row>
    <row r="75" spans="1:37" x14ac:dyDescent="0.3">
      <c r="T75" s="46" t="s">
        <v>40</v>
      </c>
      <c r="U75" s="7"/>
      <c r="V75" s="7"/>
      <c r="W75" s="61" t="s">
        <v>111</v>
      </c>
      <c r="X75" s="18">
        <v>46</v>
      </c>
      <c r="Y75" s="18">
        <v>55</v>
      </c>
      <c r="Z75" s="18" t="s">
        <v>111</v>
      </c>
      <c r="AA75" s="18"/>
      <c r="AB75" s="220" t="s">
        <v>158</v>
      </c>
      <c r="AC75" s="18"/>
      <c r="AD75" s="18"/>
      <c r="AE75" s="18"/>
      <c r="AF75" s="222" t="str">
        <f>IF(AF66=39,W75,IF(AF66=54,X75,IF(AF66=67,Y75,IF(AF66=82,Z75))))</f>
        <v>na</v>
      </c>
      <c r="AG75" s="7"/>
      <c r="AH75" s="7"/>
      <c r="AI75" s="7"/>
      <c r="AJ75" s="7"/>
      <c r="AK75" s="60"/>
    </row>
    <row r="76" spans="1:37" ht="15" thickBot="1" x14ac:dyDescent="0.35">
      <c r="T76" s="52" t="s">
        <v>41</v>
      </c>
      <c r="U76" s="40"/>
      <c r="V76" s="40"/>
      <c r="W76" s="218">
        <v>76</v>
      </c>
      <c r="X76" s="219">
        <v>55</v>
      </c>
      <c r="Y76" s="219">
        <v>51</v>
      </c>
      <c r="Z76" s="219">
        <v>69</v>
      </c>
      <c r="AA76" s="219"/>
      <c r="AB76" s="219"/>
      <c r="AC76" s="219"/>
      <c r="AD76" s="219"/>
      <c r="AE76" s="219"/>
      <c r="AF76" s="223">
        <f>IF(AF66=39,W76,IF(AF66=54,X76,IF(AF66=67,Y76,IF(AF66=82,Z76))))</f>
        <v>76</v>
      </c>
      <c r="AG76" s="68"/>
      <c r="AH76" s="68"/>
      <c r="AI76" s="68"/>
      <c r="AJ76" s="68"/>
      <c r="AK76" s="69"/>
    </row>
    <row r="77" spans="1:37" ht="15" thickTop="1" x14ac:dyDescent="0.3"/>
  </sheetData>
  <sheetProtection algorithmName="SHA-512" hashValue="oi9WzURz2wQyJz0cpz0qbPy/rC9g2gWcoDoNXbXKayv4aaWLBGJL9JYUuutrXH7Nukfn066Yn9wIzcSloeOfhg==" saltValue="MzqRmHcMYF6WJhhwLuCBpg==" spinCount="100000" sheet="1" objects="1" scenarios="1"/>
  <dataValidations count="12">
    <dataValidation type="list" allowBlank="1" showInputMessage="1" showErrorMessage="1" sqref="R16 E23" xr:uid="{D27CAFDF-E67E-44CE-BB99-39BF8ECAD13C}">
      <formula1>d</formula1>
    </dataValidation>
    <dataValidation type="list" allowBlank="1" showInputMessage="1" showErrorMessage="1" sqref="E24" xr:uid="{DF625738-4173-4829-903C-6BBCA6486FB2}">
      <formula1>B</formula1>
    </dataValidation>
    <dataValidation type="list" allowBlank="1" showInputMessage="1" showErrorMessage="1" sqref="E23" xr:uid="{BF2CBBFA-650F-442B-85F9-FEB27DB620CD}">
      <formula1>w</formula1>
    </dataValidation>
    <dataValidation type="list" allowBlank="1" showInputMessage="1" showErrorMessage="1" sqref="E23" xr:uid="{00000000-0002-0000-0000-000005000000}">
      <formula1>plaat</formula1>
    </dataValidation>
    <dataValidation type="list" allowBlank="1" showInputMessage="1" showErrorMessage="1" sqref="E23" xr:uid="{00000000-0002-0000-0000-000006000000}">
      <formula1>inhoud</formula1>
    </dataValidation>
    <dataValidation type="list" allowBlank="1" showInputMessage="1" showErrorMessage="1" sqref="E20" xr:uid="{682999BD-F71C-4FA9-BB5D-0F90A7F8C33F}">
      <formula1>P</formula1>
    </dataValidation>
    <dataValidation type="list" allowBlank="1" showInputMessage="1" showErrorMessage="1" sqref="E21" xr:uid="{6BE407DC-6BE4-40C3-8187-0A331B7A1CA0}">
      <formula1>I</formula1>
    </dataValidation>
    <dataValidation type="list" allowBlank="1" showInputMessage="1" showErrorMessage="1" sqref="E35" xr:uid="{3706095D-4790-415C-B361-09860E64CA9B}">
      <formula1>g</formula1>
    </dataValidation>
    <dataValidation type="list" allowBlank="1" showInputMessage="1" showErrorMessage="1" error="foutje" promptTitle="Psi" sqref="E48" xr:uid="{FE393F05-1D2B-4B05-9AF3-8A0CD5561AD2}">
      <formula1>iso</formula1>
    </dataValidation>
    <dataValidation type="list" allowBlank="1" showInputMessage="1" showErrorMessage="1" sqref="E49 E26" xr:uid="{376948FF-A9FC-48D3-88E2-FEA0442F8AF2}">
      <formula1>s</formula1>
    </dataValidation>
    <dataValidation type="list" allowBlank="1" showInputMessage="1" showErrorMessage="1" sqref="E25" xr:uid="{4D83E30E-B30B-4116-AFF2-D328DC035EB7}">
      <formula1>we</formula1>
    </dataValidation>
    <dataValidation type="list" allowBlank="1" showInputMessage="1" showErrorMessage="1" sqref="E19" xr:uid="{401EE58D-EA35-404D-80D3-0297340DBD3E}">
      <formula1>$S$2:$S$5</formula1>
    </dataValidation>
  </dataValidations>
  <pageMargins left="0.9055118110236221" right="0.39370078740157483" top="0.94488188976377963" bottom="0.55118110236220474" header="0.31496062992125984" footer="0.31496062992125984"/>
  <pageSetup paperSize="9" scale="68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1:D5"/>
  <sheetViews>
    <sheetView topLeftCell="A19" workbookViewId="0">
      <selection activeCell="F8" sqref="F8"/>
    </sheetView>
  </sheetViews>
  <sheetFormatPr defaultRowHeight="14.4" x14ac:dyDescent="0.3"/>
  <sheetData>
    <row r="1" spans="3:4" x14ac:dyDescent="0.3">
      <c r="C1">
        <v>39</v>
      </c>
      <c r="D1" t="s">
        <v>9</v>
      </c>
    </row>
    <row r="2" spans="3:4" x14ac:dyDescent="0.3">
      <c r="C2">
        <v>54</v>
      </c>
      <c r="D2">
        <v>20</v>
      </c>
    </row>
    <row r="3" spans="3:4" x14ac:dyDescent="0.3">
      <c r="C3">
        <v>67</v>
      </c>
      <c r="D3">
        <v>30</v>
      </c>
    </row>
    <row r="4" spans="3:4" x14ac:dyDescent="0.3">
      <c r="C4">
        <v>88</v>
      </c>
      <c r="D4">
        <v>40</v>
      </c>
    </row>
    <row r="5" spans="3:4" x14ac:dyDescent="0.3">
      <c r="D5">
        <v>50</v>
      </c>
    </row>
  </sheetData>
  <dataValidations count="1">
    <dataValidation type="list" allowBlank="1" showInputMessage="1" showErrorMessage="1" sqref="F8" xr:uid="{540F4173-B23A-4D86-A34C-3B409F96B93D}">
      <formula1>dik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20</vt:i4>
      </vt:variant>
    </vt:vector>
  </HeadingPairs>
  <TitlesOfParts>
    <vt:vector size="22" baseType="lpstr">
      <vt:lpstr>Blad1</vt:lpstr>
      <vt:lpstr>Blad2</vt:lpstr>
      <vt:lpstr>a</vt:lpstr>
      <vt:lpstr>Blad1!Afdrukbereik</vt:lpstr>
      <vt:lpstr>B</vt:lpstr>
      <vt:lpstr>d</vt:lpstr>
      <vt:lpstr>dekplaat</vt:lpstr>
      <vt:lpstr>dik</vt:lpstr>
      <vt:lpstr>g</vt:lpstr>
      <vt:lpstr>I</vt:lpstr>
      <vt:lpstr>iso</vt:lpstr>
      <vt:lpstr>jan</vt:lpstr>
      <vt:lpstr>klaas</vt:lpstr>
      <vt:lpstr>leo</vt:lpstr>
      <vt:lpstr>P</vt:lpstr>
      <vt:lpstr>s</vt:lpstr>
      <vt:lpstr>Sluitstijl</vt:lpstr>
      <vt:lpstr>v</vt:lpstr>
      <vt:lpstr>vulling</vt:lpstr>
      <vt:lpstr>w</vt:lpstr>
      <vt:lpstr>we</vt:lpstr>
      <vt:lpstr>x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</dc:creator>
  <cp:lastModifiedBy>Gerard</cp:lastModifiedBy>
  <cp:lastPrinted>2018-07-10T16:07:44Z</cp:lastPrinted>
  <dcterms:created xsi:type="dcterms:W3CDTF">2018-01-18T13:34:58Z</dcterms:created>
  <dcterms:modified xsi:type="dcterms:W3CDTF">2022-07-30T11:43:00Z</dcterms:modified>
</cp:coreProperties>
</file>